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01"/>
  <workbookPr filterPrivacy="1" hidePivotFieldList="1" defaultThemeVersion="124226"/>
  <xr:revisionPtr revIDLastSave="704" documentId="13_ncr:1_{620C3553-B77F-405D-B9AC-99F3EDC26767}" xr6:coauthVersionLast="45" xr6:coauthVersionMax="45" xr10:uidLastSave="{CA2A59D9-2E95-45A4-B990-48DF96359636}"/>
  <bookViews>
    <workbookView xWindow="-120" yWindow="-120" windowWidth="29040" windowHeight="15840" firstSheet="4" activeTab="3" xr2:uid="{00000000-000D-0000-FFFF-FFFF00000000}"/>
  </bookViews>
  <sheets>
    <sheet name="Summary" sheetId="6" r:id="rId1"/>
    <sheet name="BOQ Cheque" sheetId="1" r:id="rId2"/>
    <sheet name="Cash" sheetId="2" r:id="rId3"/>
    <sheet name="BOQ Savings" sheetId="7" r:id="rId4"/>
    <sheet name="Tables" sheetId="11" r:id="rId5"/>
    <sheet name="Charts" sheetId="12" r:id="rId6"/>
    <sheet name="Budget" sheetId="9" r:id="rId7"/>
  </sheets>
  <definedNames>
    <definedName name="_xlnm._FilterDatabase" localSheetId="1" hidden="1">'BOQ Cheque'!$A$1:$H$242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7" l="1"/>
  <c r="M9" i="7"/>
  <c r="H9" i="7"/>
  <c r="E9" i="7"/>
  <c r="D9" i="7"/>
  <c r="D8" i="7"/>
  <c r="E8" i="7"/>
  <c r="L63" i="1"/>
  <c r="M63" i="1"/>
  <c r="H63" i="1"/>
  <c r="E63" i="1"/>
  <c r="D63" i="1"/>
  <c r="L62" i="1"/>
  <c r="M62" i="1"/>
  <c r="H62" i="1"/>
  <c r="E62" i="1"/>
  <c r="D62" i="1"/>
  <c r="E61" i="1" l="1"/>
  <c r="D61" i="1"/>
  <c r="E60" i="1"/>
  <c r="D60" i="1"/>
  <c r="L16" i="2"/>
  <c r="M16" i="2"/>
  <c r="L17" i="2"/>
  <c r="M17" i="2"/>
  <c r="L18" i="2"/>
  <c r="M18" i="2"/>
  <c r="L19" i="2"/>
  <c r="M19" i="2"/>
  <c r="L61" i="1"/>
  <c r="M61" i="1"/>
  <c r="E59" i="1"/>
  <c r="D59" i="1"/>
  <c r="E58" i="1"/>
  <c r="D58" i="1"/>
  <c r="L57" i="1"/>
  <c r="M57" i="1"/>
  <c r="L58" i="1"/>
  <c r="M58" i="1"/>
  <c r="L59" i="1"/>
  <c r="M59" i="1"/>
  <c r="L60" i="1"/>
  <c r="M60" i="1"/>
  <c r="E57" i="1"/>
  <c r="D57" i="1"/>
  <c r="E19" i="2"/>
  <c r="E17" i="2"/>
  <c r="E16" i="2"/>
  <c r="E18" i="2"/>
  <c r="D19" i="2"/>
  <c r="D18" i="2"/>
  <c r="D16" i="2"/>
  <c r="E7" i="2"/>
  <c r="D7" i="2"/>
  <c r="D17" i="2" l="1"/>
  <c r="L15" i="2" l="1"/>
  <c r="M15" i="2"/>
  <c r="E15" i="2"/>
  <c r="D15" i="2"/>
  <c r="L56" i="1" l="1"/>
  <c r="M56" i="1"/>
  <c r="E56" i="1"/>
  <c r="D56" i="1"/>
  <c r="L55" i="1"/>
  <c r="M55" i="1"/>
  <c r="E55" i="1"/>
  <c r="D55" i="1"/>
  <c r="F20" i="9" l="1"/>
  <c r="G20" i="9"/>
  <c r="L8" i="7" l="1"/>
  <c r="M8" i="7"/>
  <c r="E54" i="1"/>
  <c r="D54" i="1"/>
  <c r="E53" i="1"/>
  <c r="D53" i="1"/>
  <c r="E52" i="1"/>
  <c r="D52" i="1"/>
  <c r="E51" i="1"/>
  <c r="D51" i="1"/>
  <c r="D50" i="1"/>
  <c r="E50" i="1"/>
  <c r="E49" i="1"/>
  <c r="D49" i="1"/>
  <c r="E48" i="1"/>
  <c r="D48" i="1"/>
  <c r="E47" i="1"/>
  <c r="D47" i="1"/>
  <c r="E46" i="1"/>
  <c r="D46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E45" i="1"/>
  <c r="D45" i="1"/>
  <c r="E44" i="1"/>
  <c r="D44" i="1"/>
  <c r="E43" i="1"/>
  <c r="D43" i="1"/>
  <c r="E42" i="1" l="1"/>
  <c r="D42" i="1"/>
  <c r="E41" i="1"/>
  <c r="D41" i="1"/>
  <c r="E40" i="1"/>
  <c r="D40" i="1"/>
  <c r="E39" i="1"/>
  <c r="D39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E38" i="1"/>
  <c r="D38" i="1"/>
  <c r="E14" i="2"/>
  <c r="D14" i="2"/>
  <c r="D13" i="2"/>
  <c r="E13" i="2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E12" i="2"/>
  <c r="D12" i="2"/>
  <c r="E11" i="2"/>
  <c r="D11" i="2"/>
  <c r="E10" i="2"/>
  <c r="D10" i="2"/>
  <c r="E9" i="2"/>
  <c r="D9" i="2"/>
  <c r="E8" i="2"/>
  <c r="D8" i="2"/>
  <c r="L5" i="2"/>
  <c r="M5" i="2"/>
  <c r="L6" i="2"/>
  <c r="M6" i="2"/>
  <c r="L7" i="2"/>
  <c r="M7" i="2"/>
  <c r="E6" i="2"/>
  <c r="D6" i="2"/>
  <c r="E5" i="2"/>
  <c r="D5" i="2"/>
  <c r="D4" i="2"/>
  <c r="E4" i="2"/>
  <c r="L4" i="2"/>
  <c r="M4" i="2"/>
  <c r="L7" i="7" l="1"/>
  <c r="M7" i="7"/>
  <c r="E7" i="7"/>
  <c r="D7" i="7"/>
  <c r="E37" i="1"/>
  <c r="D37" i="1"/>
  <c r="E36" i="1"/>
  <c r="D36" i="1"/>
  <c r="E35" i="1"/>
  <c r="D35" i="1"/>
  <c r="E34" i="1"/>
  <c r="D34" i="1"/>
  <c r="L33" i="1"/>
  <c r="M33" i="1"/>
  <c r="L34" i="1"/>
  <c r="M34" i="1"/>
  <c r="L35" i="1"/>
  <c r="M35" i="1"/>
  <c r="L36" i="1"/>
  <c r="M36" i="1"/>
  <c r="L37" i="1"/>
  <c r="M37" i="1"/>
  <c r="E33" i="1"/>
  <c r="D33" i="1"/>
  <c r="M3" i="2" l="1"/>
  <c r="L3" i="2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E3" i="2"/>
  <c r="D3" i="2"/>
  <c r="L6" i="7" l="1"/>
  <c r="M6" i="7"/>
  <c r="E6" i="7"/>
  <c r="D6" i="7"/>
  <c r="E32" i="1"/>
  <c r="D32" i="1"/>
  <c r="E31" i="1"/>
  <c r="D31" i="1"/>
  <c r="D30" i="1"/>
  <c r="E30" i="1"/>
  <c r="E29" i="1"/>
  <c r="D29" i="1"/>
  <c r="M29" i="1"/>
  <c r="M30" i="1"/>
  <c r="M31" i="1"/>
  <c r="M32" i="1"/>
  <c r="L29" i="1"/>
  <c r="L30" i="1"/>
  <c r="L31" i="1"/>
  <c r="L32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M18" i="1"/>
  <c r="M19" i="1"/>
  <c r="M20" i="1"/>
  <c r="M21" i="1"/>
  <c r="M22" i="1"/>
  <c r="M23" i="1"/>
  <c r="M24" i="1"/>
  <c r="M25" i="1"/>
  <c r="M26" i="1"/>
  <c r="M27" i="1"/>
  <c r="M28" i="1"/>
  <c r="L18" i="1"/>
  <c r="L19" i="1"/>
  <c r="L20" i="1"/>
  <c r="L21" i="1"/>
  <c r="L22" i="1"/>
  <c r="L23" i="1"/>
  <c r="L24" i="1"/>
  <c r="L25" i="1"/>
  <c r="L26" i="1"/>
  <c r="L27" i="1"/>
  <c r="L28" i="1"/>
  <c r="E16" i="1"/>
  <c r="D16" i="1"/>
  <c r="E15" i="1"/>
  <c r="D15" i="1"/>
  <c r="E14" i="1"/>
  <c r="D14" i="1"/>
  <c r="E13" i="1"/>
  <c r="D13" i="1"/>
  <c r="E12" i="1"/>
  <c r="D12" i="1"/>
  <c r="M11" i="1"/>
  <c r="M12" i="1"/>
  <c r="M13" i="1"/>
  <c r="M14" i="1"/>
  <c r="M15" i="1"/>
  <c r="M16" i="1"/>
  <c r="M17" i="1"/>
  <c r="L11" i="1"/>
  <c r="L12" i="1"/>
  <c r="L13" i="1"/>
  <c r="L14" i="1"/>
  <c r="L15" i="1"/>
  <c r="L16" i="1"/>
  <c r="L17" i="1"/>
  <c r="E11" i="1"/>
  <c r="D11" i="1"/>
  <c r="F19" i="9" l="1"/>
  <c r="F9" i="9"/>
  <c r="F24" i="9"/>
  <c r="G9" i="9"/>
  <c r="G24" i="9"/>
  <c r="E10" i="1" l="1"/>
  <c r="D10" i="1"/>
  <c r="E9" i="1"/>
  <c r="D9" i="1"/>
  <c r="E8" i="1"/>
  <c r="D8" i="1"/>
  <c r="L7" i="1"/>
  <c r="M7" i="1"/>
  <c r="L8" i="1"/>
  <c r="M8" i="1"/>
  <c r="L9" i="1"/>
  <c r="M9" i="1"/>
  <c r="L10" i="1"/>
  <c r="M10" i="1"/>
  <c r="E7" i="1"/>
  <c r="D7" i="1"/>
  <c r="L5" i="7"/>
  <c r="M5" i="7"/>
  <c r="D5" i="7"/>
  <c r="E5" i="7"/>
  <c r="F30" i="9" l="1"/>
  <c r="F33" i="9"/>
  <c r="F27" i="9"/>
  <c r="F25" i="9"/>
  <c r="F31" i="9"/>
  <c r="F29" i="9"/>
  <c r="F13" i="9"/>
  <c r="F4" i="9"/>
  <c r="F12" i="9"/>
  <c r="F15" i="9"/>
  <c r="F8" i="9"/>
  <c r="F14" i="9"/>
  <c r="F10" i="9"/>
  <c r="F21" i="9"/>
  <c r="F32" i="9"/>
  <c r="F11" i="9"/>
  <c r="F18" i="9"/>
  <c r="F28" i="9"/>
  <c r="F16" i="9"/>
  <c r="F22" i="9"/>
  <c r="F23" i="9"/>
  <c r="F7" i="9"/>
  <c r="F26" i="9"/>
  <c r="F17" i="9"/>
  <c r="F3" i="9"/>
  <c r="F5" i="9"/>
  <c r="F6" i="9"/>
  <c r="G30" i="9"/>
  <c r="G33" i="9"/>
  <c r="G27" i="9"/>
  <c r="G25" i="9"/>
  <c r="G31" i="9"/>
  <c r="G29" i="9"/>
  <c r="G13" i="9"/>
  <c r="G4" i="9"/>
  <c r="G12" i="9"/>
  <c r="G15" i="9"/>
  <c r="G8" i="9"/>
  <c r="G14" i="9"/>
  <c r="G10" i="9"/>
  <c r="G21" i="9"/>
  <c r="G32" i="9"/>
  <c r="G11" i="9"/>
  <c r="G18" i="9"/>
  <c r="G28" i="9"/>
  <c r="G16" i="9"/>
  <c r="G22" i="9"/>
  <c r="G23" i="9"/>
  <c r="G7" i="9"/>
  <c r="G26" i="9"/>
  <c r="G17" i="9"/>
  <c r="G3" i="9"/>
  <c r="G19" i="9"/>
  <c r="G5" i="9"/>
  <c r="G6" i="9"/>
  <c r="M4" i="7" l="1"/>
  <c r="L4" i="7"/>
  <c r="M5" i="1"/>
  <c r="M6" i="1"/>
  <c r="L5" i="1"/>
  <c r="L6" i="1"/>
  <c r="E4" i="7"/>
  <c r="D4" i="7"/>
  <c r="E3" i="7"/>
  <c r="D3" i="7"/>
  <c r="D5" i="1"/>
  <c r="E5" i="1"/>
  <c r="E6" i="1"/>
  <c r="D6" i="1"/>
  <c r="E4" i="1"/>
  <c r="D4" i="1"/>
  <c r="E3" i="1"/>
  <c r="D3" i="1"/>
  <c r="M2" i="2" l="1"/>
  <c r="L2" i="2"/>
  <c r="M3" i="7"/>
  <c r="L3" i="7"/>
  <c r="M3" i="1"/>
  <c r="M4" i="1"/>
  <c r="L3" i="1"/>
  <c r="L4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B5" i="6"/>
  <c r="G3" i="1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I28" i="6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7" i="1"/>
  <c r="O2" i="1"/>
  <c r="I26" i="6"/>
  <c r="I24" i="6"/>
  <c r="B3" i="6"/>
  <c r="F1" i="6" s="1"/>
  <c r="I14" i="6"/>
  <c r="I15" i="6"/>
  <c r="I17" i="6"/>
  <c r="I18" i="6"/>
  <c r="I19" i="6"/>
  <c r="I20" i="6"/>
  <c r="I21" i="6"/>
  <c r="I22" i="6"/>
  <c r="I30" i="6"/>
  <c r="C4" i="11"/>
  <c r="H307" i="1"/>
  <c r="H308" i="1"/>
  <c r="H309" i="1"/>
  <c r="H310" i="1"/>
  <c r="H311" i="1"/>
  <c r="H312" i="1"/>
  <c r="H313" i="1"/>
  <c r="H314" i="1"/>
  <c r="H315" i="1"/>
  <c r="H316" i="1"/>
  <c r="H2" i="7"/>
  <c r="H3" i="7" s="1"/>
  <c r="H4" i="7" s="1"/>
  <c r="H5" i="7" s="1"/>
  <c r="H6" i="7" s="1"/>
  <c r="H7" i="7" s="1"/>
  <c r="H8" i="7" s="1"/>
  <c r="H306" i="7"/>
  <c r="H307" i="7"/>
  <c r="H308" i="7"/>
  <c r="H309" i="7"/>
  <c r="H310" i="7"/>
  <c r="H311" i="7"/>
  <c r="H312" i="7"/>
  <c r="H313" i="7"/>
  <c r="H314" i="7"/>
  <c r="H315" i="7"/>
  <c r="B6" i="6"/>
  <c r="B15" i="6" s="1"/>
  <c r="G2" i="9"/>
  <c r="F2" i="9"/>
  <c r="B13" i="6"/>
  <c r="F35" i="9" l="1"/>
  <c r="G35" i="9"/>
  <c r="F36" i="9"/>
  <c r="F38" i="9" s="1"/>
  <c r="J1" i="7"/>
  <c r="I13" i="6"/>
  <c r="I16" i="6"/>
  <c r="I27" i="6"/>
  <c r="O93" i="1"/>
  <c r="F18" i="6"/>
  <c r="G16" i="11"/>
  <c r="H13" i="11"/>
  <c r="G8" i="11"/>
  <c r="H5" i="11"/>
  <c r="C9" i="11"/>
  <c r="B4" i="11"/>
  <c r="D4" i="11" s="1"/>
  <c r="F17" i="6"/>
  <c r="H18" i="11"/>
  <c r="G13" i="11"/>
  <c r="H10" i="11"/>
  <c r="G5" i="11"/>
  <c r="B9" i="11"/>
  <c r="C6" i="11"/>
  <c r="I29" i="6"/>
  <c r="F16" i="6"/>
  <c r="G18" i="11"/>
  <c r="H15" i="11"/>
  <c r="G10" i="11"/>
  <c r="H7" i="11"/>
  <c r="C11" i="11"/>
  <c r="B6" i="11"/>
  <c r="C3" i="11"/>
  <c r="B7" i="6"/>
  <c r="B14" i="6" s="1"/>
  <c r="I25" i="6"/>
  <c r="F23" i="6"/>
  <c r="F15" i="6"/>
  <c r="H2" i="11"/>
  <c r="G15" i="11"/>
  <c r="H12" i="11"/>
  <c r="G7" i="11"/>
  <c r="H4" i="11"/>
  <c r="B11" i="11"/>
  <c r="C8" i="11"/>
  <c r="B3" i="11"/>
  <c r="F22" i="6"/>
  <c r="F14" i="6"/>
  <c r="G2" i="11"/>
  <c r="H17" i="11"/>
  <c r="G12" i="11"/>
  <c r="H9" i="11"/>
  <c r="G4" i="11"/>
  <c r="B8" i="11"/>
  <c r="C5" i="11"/>
  <c r="I23" i="6"/>
  <c r="O3" i="1"/>
  <c r="F21" i="6"/>
  <c r="F13" i="6"/>
  <c r="G17" i="11"/>
  <c r="H14" i="11"/>
  <c r="G9" i="11"/>
  <c r="H6" i="11"/>
  <c r="C10" i="11"/>
  <c r="B5" i="11"/>
  <c r="C2" i="11"/>
  <c r="F20" i="6"/>
  <c r="H19" i="11"/>
  <c r="G14" i="11"/>
  <c r="H11" i="11"/>
  <c r="G6" i="11"/>
  <c r="H3" i="11"/>
  <c r="I3" i="11" s="1"/>
  <c r="B10" i="11"/>
  <c r="C7" i="11"/>
  <c r="B2" i="11"/>
  <c r="F19" i="6"/>
  <c r="G19" i="11"/>
  <c r="H16" i="11"/>
  <c r="G11" i="11"/>
  <c r="H8" i="11"/>
  <c r="B7" i="11"/>
  <c r="I6" i="11" l="1"/>
  <c r="I18" i="11"/>
  <c r="I10" i="11"/>
  <c r="D9" i="11"/>
  <c r="D6" i="11"/>
  <c r="I17" i="11"/>
  <c r="D11" i="11"/>
  <c r="I13" i="11"/>
  <c r="I2" i="11"/>
  <c r="I14" i="11"/>
  <c r="D5" i="11"/>
  <c r="I4" i="11"/>
  <c r="D10" i="11"/>
  <c r="D8" i="11"/>
  <c r="D3" i="11"/>
  <c r="I7" i="11"/>
  <c r="I15" i="11"/>
  <c r="I5" i="11"/>
  <c r="I9" i="11"/>
  <c r="I19" i="11"/>
  <c r="I16" i="11"/>
  <c r="J1" i="1"/>
  <c r="B13" i="11"/>
  <c r="D2" i="11"/>
  <c r="F24" i="6"/>
  <c r="I12" i="11"/>
  <c r="C13" i="11"/>
  <c r="D7" i="11"/>
  <c r="J1" i="2"/>
  <c r="I11" i="11"/>
  <c r="I8" i="11"/>
  <c r="F3" i="6" l="1"/>
  <c r="F2" i="6" s="1"/>
  <c r="B16" i="6" s="1"/>
  <c r="D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tc={D1CE9CE1-28F1-4DA5-A671-940B930B4A3E}</author>
    <author>tc={58D6211E-FB20-4551-9143-031F887ECACB}</author>
  </authors>
  <commentList>
    <comment ref="C18" authorId="0" shapeId="0" xr:uid="{D1CE9CE1-28F1-4DA5-A671-940B930B4A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  <comment ref="C21" authorId="1" shapeId="0" xr:uid="{58D6211E-FB20-4551-9143-031F887ECAC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<sst xmlns="http://schemas.openxmlformats.org/spreadsheetml/2006/main" count="370" uniqueCount="265">
  <si>
    <t>Cheque Account Opening Balance</t>
  </si>
  <si>
    <t>Balance at 1st June 2019</t>
  </si>
  <si>
    <t>Savings Account Opening Balance</t>
  </si>
  <si>
    <t>Changes this FY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</si>
  <si>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</si>
  <si>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</si>
  <si>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</si>
  <si>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</si>
  <si>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</si>
  <si>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</si>
  <si>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</si>
  <si>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</si>
  <si>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</si>
  <si>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</si>
  <si>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</si>
  <si>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</si>
  <si>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</si>
  <si>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</si>
  <si>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</si>
  <si>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</si>
  <si>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Seminar drinks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</si>
  <si>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</si>
  <si>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</si>
  <si>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</si>
  <si>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</si>
  <si>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</si>
  <si>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</si>
  <si>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lunch</t>
  </si>
  <si>
    <t>Merchandise</t>
  </si>
  <si>
    <t>October post-match social</t>
  </si>
  <si>
    <t>Transfer</t>
  </si>
  <si>
    <t>December general meeting</t>
  </si>
  <si>
    <t>Miscellaneous</t>
  </si>
  <si>
    <t>T20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</si>
  <si>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</si>
  <si>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</si>
  <si>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</si>
  <si>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</si>
  <si>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</si>
  <si>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</si>
  <si>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Grand Final breakfast</t>
  </si>
  <si>
    <t>End of season dinner</t>
  </si>
  <si>
    <t>Test Umpires' Walk</t>
  </si>
  <si>
    <t>Olly Cooley</t>
  </si>
  <si>
    <t>March general meeting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</si>
  <si>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</si>
  <si>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</si>
  <si>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</si>
  <si>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</si>
  <si>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</si>
  <si>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</si>
  <si>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</si>
  <si>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</si>
  <si>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</si>
  <si>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Revenue</t>
  </si>
  <si>
    <t>Expenditure</t>
  </si>
  <si>
    <t>B1</t>
  </si>
  <si>
    <t>Opening Balance</t>
  </si>
  <si>
    <t>B2</t>
  </si>
  <si>
    <t>Annual Report Printing - Snap Printing</t>
  </si>
  <si>
    <t>B3</t>
  </si>
  <si>
    <t>B4</t>
  </si>
  <si>
    <t>Bar tab - AGM - Perth &amp; Tatts (Reimburse Andrew Micenko)</t>
  </si>
  <si>
    <t>B5</t>
  </si>
  <si>
    <t>B6</t>
  </si>
  <si>
    <t>Life member pin - Sheridan's</t>
  </si>
  <si>
    <t>B7</t>
  </si>
  <si>
    <t>Life member jacket - Bousfields</t>
  </si>
  <si>
    <t>B8</t>
  </si>
  <si>
    <t>Seminar drinks - Grosvenor Hotel</t>
  </si>
  <si>
    <t>B9</t>
  </si>
  <si>
    <t>B10</t>
  </si>
  <si>
    <t>Social memberships - Perth and Tatts</t>
  </si>
  <si>
    <t>B11</t>
  </si>
  <si>
    <t>Website domain and hosting - reimburse Trent Steenholdt</t>
  </si>
  <si>
    <t>B12</t>
  </si>
  <si>
    <t>Shirt and jacket - Conor Barnden</t>
  </si>
  <si>
    <t>B13</t>
  </si>
  <si>
    <t>Shirt and cap - Stephen O'Dea</t>
  </si>
  <si>
    <t>B14</t>
  </si>
  <si>
    <t>Shirt, cap and jacket - Raju Ahamed</t>
  </si>
  <si>
    <t>B15</t>
  </si>
  <si>
    <t>Cap - Andrew Edwards</t>
  </si>
  <si>
    <t>B16</t>
  </si>
  <si>
    <t>Shirt, cap and jacket - Terry Cooper</t>
  </si>
  <si>
    <t>B17</t>
  </si>
  <si>
    <t>Jacket - Phil Hayman</t>
  </si>
  <si>
    <t>B18</t>
  </si>
  <si>
    <t>Cap - Basil Don</t>
  </si>
  <si>
    <t>B19</t>
  </si>
  <si>
    <t>Cap - Andrew Micenko</t>
  </si>
  <si>
    <t>B20</t>
  </si>
  <si>
    <t>Shirt, cap and jacket - Matt Capone</t>
  </si>
  <si>
    <t>B21</t>
  </si>
  <si>
    <t>Shirt and cap - Paul Cassidy</t>
  </si>
  <si>
    <t>B22</t>
  </si>
  <si>
    <t>Shirt and cap - Ahmad Khan</t>
  </si>
  <si>
    <t>B23</t>
  </si>
  <si>
    <t>Cap - Garth McCrorie</t>
  </si>
  <si>
    <t>B24</t>
  </si>
  <si>
    <t>Cap - Sidney Rajanayam</t>
  </si>
  <si>
    <t>B25</t>
  </si>
  <si>
    <t>B26</t>
  </si>
  <si>
    <t>Bag - Gavin McMiles</t>
  </si>
  <si>
    <t>B27</t>
  </si>
  <si>
    <t>Bag - Raju Ahamed</t>
  </si>
  <si>
    <t>B28</t>
  </si>
  <si>
    <t>Shirt, cap and jacket - Nick Middleton</t>
  </si>
  <si>
    <t>B29</t>
  </si>
  <si>
    <t>Membership - Jeff Brookes</t>
  </si>
  <si>
    <t>B30</t>
  </si>
  <si>
    <t>Membership - Stephen Farrell</t>
  </si>
  <si>
    <t>B31</t>
  </si>
  <si>
    <t>Membership - Paul Wilson</t>
  </si>
  <si>
    <t>B32</t>
  </si>
  <si>
    <t>Transfer from savings</t>
  </si>
  <si>
    <t>B33</t>
  </si>
  <si>
    <t>Shirt - Ciaran Sanders</t>
  </si>
  <si>
    <t>B34</t>
  </si>
  <si>
    <t>Shirt - Yash Ghandi</t>
  </si>
  <si>
    <t>B35</t>
  </si>
  <si>
    <t>Jacket and cap - Kate Holloman</t>
  </si>
  <si>
    <t>B36</t>
  </si>
  <si>
    <t>Shirt - Jaques Malan</t>
  </si>
  <si>
    <t>B37</t>
  </si>
  <si>
    <t>Merchandise - invoice from Ace Promotions</t>
  </si>
  <si>
    <t>B38</t>
  </si>
  <si>
    <t>Raffle prizes - reimburse Todd Rann</t>
  </si>
  <si>
    <t>B39</t>
  </si>
  <si>
    <t>Membership refund - Todd Rann</t>
  </si>
  <si>
    <t>B40</t>
  </si>
  <si>
    <t>Labels and postage of hat bands - reimburse Trent Steenholdt</t>
  </si>
  <si>
    <t>B41</t>
  </si>
  <si>
    <t>Jacket and cap - Kirsten Funston</t>
  </si>
  <si>
    <t>B42</t>
  </si>
  <si>
    <t>Shirt, cap and jacket - Peter Graham</t>
  </si>
  <si>
    <t>B43</t>
  </si>
  <si>
    <t>Shirt and cap - Bayley Lamont</t>
  </si>
  <si>
    <t>B44</t>
  </si>
  <si>
    <t>Shirt and cap - Ethan Lamont</t>
  </si>
  <si>
    <t>B45</t>
  </si>
  <si>
    <t>Jacket - Merv Rudrum</t>
  </si>
  <si>
    <t>B46</t>
  </si>
  <si>
    <t>Cap - Sam Kronja</t>
  </si>
  <si>
    <t>B47</t>
  </si>
  <si>
    <t>Shirt, cap and jacket - Trevor Krink</t>
  </si>
  <si>
    <t>B48</t>
  </si>
  <si>
    <t>Shirt refund - Stephen O'Dea</t>
  </si>
  <si>
    <t>B49</t>
  </si>
  <si>
    <t>Back to base drinks and BBQ - reimburse Trent Steenholdt</t>
  </si>
  <si>
    <t>B50</t>
  </si>
  <si>
    <t>Shirt - Graham Zemunik</t>
  </si>
  <si>
    <t>B51</t>
  </si>
  <si>
    <t>Sponsorship - Cortana Design/MOS</t>
  </si>
  <si>
    <t>B52</t>
  </si>
  <si>
    <t>Merchandise - Richard Davey (Geraldton)</t>
  </si>
  <si>
    <t>B53</t>
  </si>
  <si>
    <t>B54</t>
  </si>
  <si>
    <t>Shirt and cap - Wayne Barron</t>
  </si>
  <si>
    <t>B55</t>
  </si>
  <si>
    <t>Membership - Eloise Geerdink</t>
  </si>
  <si>
    <t>B56</t>
  </si>
  <si>
    <t>Shirt - Louis Wegner</t>
  </si>
  <si>
    <t>B57</t>
  </si>
  <si>
    <t>2 caps - Ashlee Gibbons</t>
  </si>
  <si>
    <t>B58</t>
  </si>
  <si>
    <t>B59</t>
  </si>
  <si>
    <t>Life members' lunch - Mantra on Hay</t>
  </si>
  <si>
    <t>B60</t>
  </si>
  <si>
    <t>B61</t>
  </si>
  <si>
    <t>Life members' lunch - Fred Davis</t>
  </si>
  <si>
    <t>B62</t>
  </si>
  <si>
    <t>C1</t>
  </si>
  <si>
    <t>C2</t>
  </si>
  <si>
    <t>Merchandise - cash payments (inc Michael Kovalevs cap)</t>
  </si>
  <si>
    <t>C3</t>
  </si>
  <si>
    <t>Shirt and cap - Rex Evans</t>
  </si>
  <si>
    <t>C4</t>
  </si>
  <si>
    <t>Shirt and cap - Robert Cosgrave</t>
  </si>
  <si>
    <t>C5</t>
  </si>
  <si>
    <t>Cap - Steve Wenban</t>
  </si>
  <si>
    <t>C6</t>
  </si>
  <si>
    <t>October general meeting BBQ - reimburse Kirsten Funston</t>
  </si>
  <si>
    <t>C7</t>
  </si>
  <si>
    <t>Cap - Sam Moses</t>
  </si>
  <si>
    <t>C8</t>
  </si>
  <si>
    <t>Shirt - Bayley Lamont</t>
  </si>
  <si>
    <t>C9</t>
  </si>
  <si>
    <t>Shirt - Ethan Lamont</t>
  </si>
  <si>
    <t>C10</t>
  </si>
  <si>
    <t>Cap - George Burgum</t>
  </si>
  <si>
    <t>C11</t>
  </si>
  <si>
    <t>Jacket, shirt and cap - Barry Kember</t>
  </si>
  <si>
    <t>C12</t>
  </si>
  <si>
    <t>October general meeting raffle</t>
  </si>
  <si>
    <t>C13</t>
  </si>
  <si>
    <t>October general meeting bar tab</t>
  </si>
  <si>
    <t>C14</t>
  </si>
  <si>
    <t>Shirt - Basil Don</t>
  </si>
  <si>
    <t>C15</t>
  </si>
  <si>
    <t>BBQ - Reimburse Wayne Barron</t>
  </si>
  <si>
    <t>C16</t>
  </si>
  <si>
    <t>November general meeting raffle</t>
  </si>
  <si>
    <t>C17</t>
  </si>
  <si>
    <t>Jacket refund - Kate Holloman</t>
  </si>
  <si>
    <t>C18</t>
  </si>
  <si>
    <t>November general meeting bar tab</t>
  </si>
  <si>
    <t>S1</t>
  </si>
  <si>
    <t>S2</t>
  </si>
  <si>
    <t>S3</t>
  </si>
  <si>
    <t>S4</t>
  </si>
  <si>
    <t>S5</t>
  </si>
  <si>
    <t>S6</t>
  </si>
  <si>
    <t>Transfer to cheque</t>
  </si>
  <si>
    <t>S7</t>
  </si>
  <si>
    <t>S8</t>
  </si>
  <si>
    <t>Life members' breakfast</t>
  </si>
  <si>
    <t>November post-match social</t>
  </si>
  <si>
    <t>Budget for Season 2019-2020</t>
  </si>
  <si>
    <t>Units</t>
  </si>
  <si>
    <t>Price</t>
  </si>
  <si>
    <t>Income/Expenditure</t>
  </si>
  <si>
    <t>Notes</t>
  </si>
  <si>
    <t>Income</t>
  </si>
  <si>
    <t>Membership Fees</t>
  </si>
  <si>
    <t>Annual Season Dinner Partner Tickets</t>
  </si>
  <si>
    <t>Jackets Income</t>
  </si>
  <si>
    <t>Shirt Income</t>
  </si>
  <si>
    <t>General Meetings - Raffle</t>
  </si>
  <si>
    <t>Grand Final Breakfast Tickets</t>
  </si>
  <si>
    <t>Caps Income</t>
  </si>
  <si>
    <t>Interest earned</t>
  </si>
  <si>
    <t>Monthly</t>
  </si>
  <si>
    <t>Test Match Lunch tickets</t>
  </si>
  <si>
    <t>Annual Season Dinner Member Tickets</t>
  </si>
  <si>
    <t>Annual Season Dinner Partner Costs</t>
  </si>
  <si>
    <t>Grand Final Breakfast</t>
  </si>
  <si>
    <t>WACA</t>
  </si>
  <si>
    <t>Annual Season Dinner Extras (MC/gifts)</t>
  </si>
  <si>
    <t>General Meetings - Bar Tab</t>
  </si>
  <si>
    <t>Jackets Outgoing</t>
  </si>
  <si>
    <t>Ace Promotions</t>
  </si>
  <si>
    <t>Test Match Lunch with Life Members</t>
  </si>
  <si>
    <t>Shirts Outgoing</t>
  </si>
  <si>
    <t>Back to base socials</t>
  </si>
  <si>
    <t>Seminar Social - Drinks</t>
  </si>
  <si>
    <t>Seminar Saturday</t>
  </si>
  <si>
    <t>General Meetings - venue fee for season</t>
  </si>
  <si>
    <t>General Meetings - BBQ</t>
  </si>
  <si>
    <t>Caps Outgoing</t>
  </si>
  <si>
    <t>AGM Food/Drink</t>
  </si>
  <si>
    <t>Embroidery - hat bands</t>
  </si>
  <si>
    <t>AGM Printing - Annual Report</t>
  </si>
  <si>
    <t>T20 Game</t>
  </si>
  <si>
    <t>Food, Drink, Venue, Equipment (balls etc)</t>
  </si>
  <si>
    <t>Olly Cooley Ticket Subsidy</t>
  </si>
  <si>
    <t>Life member jacket</t>
  </si>
  <si>
    <t>Karen Read Ticket Subsidy</t>
  </si>
  <si>
    <t>Website</t>
  </si>
  <si>
    <t>Life member pin</t>
  </si>
  <si>
    <t>Start</t>
  </si>
  <si>
    <t>Totals</t>
  </si>
  <si>
    <t>Estimated change by end of FY</t>
  </si>
  <si>
    <t>FY Starting Balance</t>
  </si>
  <si>
    <t>Estimated FY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</si>
</sst>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\-&quot;$&quot;#,##0.00"/>
    <numFmt numFmtId="165" formatCode="d/mm/yyyy;@"/>
    <numFmt numFmtId="166" formatCode="&quot;$&quot;#,##0.00;[Red]&quot;$&quot;#,##0.00"/>
    <numFmt numFmtId="167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2F75B5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164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164" fontId="1" fillId="2" borderId="9" xfId="0" applyNumberFormat="1" applyFont="1" applyFill="1" applyBorder="1"/>
    <xf numFmtId="166" fontId="0" fillId="0" borderId="0" xfId="0" applyNumberFormat="1"/>
    <xf numFmtId="0" fontId="0" fillId="0" borderId="12" xfId="0" applyBorder="1"/>
    <xf numFmtId="164" fontId="0" fillId="0" borderId="12" xfId="0" applyNumberFormat="1" applyBorder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164" fontId="5" fillId="5" borderId="18" xfId="0" applyNumberFormat="1" applyFont="1" applyFill="1" applyBorder="1"/>
    <xf numFmtId="0" fontId="5" fillId="5" borderId="15" xfId="0" applyFont="1" applyFill="1" applyBorder="1"/>
    <xf numFmtId="0" fontId="0" fillId="0" borderId="4" xfId="0" applyBorder="1"/>
    <xf numFmtId="0" fontId="0" fillId="0" borderId="5" xfId="0" applyBorder="1"/>
    <xf numFmtId="0" fontId="0" fillId="5" borderId="16" xfId="0" applyFill="1" applyBorder="1"/>
    <xf numFmtId="0" fontId="0" fillId="5" borderId="19" xfId="0" applyFill="1" applyBorder="1"/>
    <xf numFmtId="164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164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164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0" fontId="0" fillId="0" borderId="23" xfId="0" applyBorder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5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wrapText="1"/>
    </xf>
    <xf numFmtId="164" fontId="1" fillId="2" borderId="24" xfId="0" applyNumberFormat="1" applyFont="1" applyFill="1" applyBorder="1"/>
    <xf numFmtId="49" fontId="0" fillId="2" borderId="25" xfId="0" applyNumberFormat="1" applyFill="1" applyBorder="1"/>
    <xf numFmtId="164" fontId="1" fillId="2" borderId="26" xfId="0" applyNumberFormat="1" applyFont="1" applyFill="1" applyBorder="1"/>
    <xf numFmtId="0" fontId="11" fillId="0" borderId="0" xfId="0" applyFont="1"/>
    <xf numFmtId="49" fontId="0" fillId="2" borderId="29" xfId="0" applyNumberFormat="1" applyFill="1" applyBorder="1"/>
    <xf numFmtId="164" fontId="1" fillId="2" borderId="30" xfId="0" applyNumberFormat="1" applyFont="1" applyFill="1" applyBorder="1"/>
    <xf numFmtId="49" fontId="0" fillId="2" borderId="31" xfId="0" applyNumberFormat="1" applyFill="1" applyBorder="1"/>
    <xf numFmtId="164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164" fontId="1" fillId="2" borderId="37" xfId="0" applyNumberFormat="1" applyFont="1" applyFill="1" applyBorder="1"/>
    <xf numFmtId="164" fontId="1" fillId="2" borderId="38" xfId="0" applyNumberFormat="1" applyFont="1" applyFill="1" applyBorder="1"/>
    <xf numFmtId="49" fontId="0" fillId="2" borderId="39" xfId="0" applyNumberFormat="1" applyFill="1" applyBorder="1"/>
    <xf numFmtId="164" fontId="0" fillId="0" borderId="40" xfId="0" applyNumberFormat="1" applyBorder="1"/>
    <xf numFmtId="164" fontId="0" fillId="0" borderId="41" xfId="0" applyNumberFormat="1" applyBorder="1"/>
    <xf numFmtId="164" fontId="0" fillId="0" borderId="42" xfId="0" applyNumberFormat="1" applyBorder="1"/>
    <xf numFmtId="167" fontId="1" fillId="0" borderId="0" xfId="0" applyNumberFormat="1" applyFont="1"/>
    <xf numFmtId="0" fontId="0" fillId="0" borderId="43" xfId="0" applyBorder="1"/>
    <xf numFmtId="164" fontId="0" fillId="0" borderId="44" xfId="0" applyNumberFormat="1" applyBorder="1"/>
    <xf numFmtId="0" fontId="0" fillId="0" borderId="44" xfId="0" applyBorder="1"/>
    <xf numFmtId="0" fontId="0" fillId="0" borderId="0" xfId="0" applyNumberFormat="1"/>
    <xf numFmtId="0" fontId="1" fillId="0" borderId="2" xfId="0" applyNumberFormat="1" applyFont="1" applyBorder="1" applyAlignment="1">
      <alignment vertical="center"/>
    </xf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49" fontId="9" fillId="0" borderId="0" xfId="0" applyNumberFormat="1" applyFo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Tables!$B$2:$B$11</c:f>
              <c:numCache>
                <c:formatCode>"$"#,##0.00</c:formatCode>
                <c:ptCount val="10"/>
                <c:pt idx="0">
                  <c:v>120.76</c:v>
                </c:pt>
                <c:pt idx="1">
                  <c:v>236.85</c:v>
                </c:pt>
                <c:pt idx="2">
                  <c:v>0</c:v>
                </c:pt>
                <c:pt idx="3">
                  <c:v>0</c:v>
                </c:pt>
                <c:pt idx="4">
                  <c:v>220</c:v>
                </c:pt>
                <c:pt idx="5">
                  <c:v>0</c:v>
                </c:pt>
                <c:pt idx="6">
                  <c:v>2490</c:v>
                </c:pt>
                <c:pt idx="7">
                  <c:v>0</c:v>
                </c:pt>
                <c:pt idx="8">
                  <c:v>35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238-B36F-D3BFE053474B}"/>
            </c:ext>
          </c:extLst>
        </c:ser>
        <c:ser>
          <c:idx val="1"/>
          <c:order val="1"/>
          <c:tx>
            <c:strRef>
              <c:f>Tables!$C$1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Tables!$C$2:$C$11</c:f>
              <c:numCache>
                <c:formatCode>"$"#,##0.00</c:formatCode>
                <c:ptCount val="10"/>
                <c:pt idx="0">
                  <c:v>0</c:v>
                </c:pt>
                <c:pt idx="1">
                  <c:v>-141.96</c:v>
                </c:pt>
                <c:pt idx="2">
                  <c:v>-500</c:v>
                </c:pt>
                <c:pt idx="3">
                  <c:v>0</c:v>
                </c:pt>
                <c:pt idx="4">
                  <c:v>-55</c:v>
                </c:pt>
                <c:pt idx="5">
                  <c:v>-211.16</c:v>
                </c:pt>
                <c:pt idx="6">
                  <c:v>-3380.71</c:v>
                </c:pt>
                <c:pt idx="7">
                  <c:v>-773.19</c:v>
                </c:pt>
                <c:pt idx="8">
                  <c:v>-2453.91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238-B36F-D3BFE05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079799"/>
        <c:axId val="758082295"/>
      </c:barChart>
      <c:catAx>
        <c:axId val="758079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2295"/>
        <c:crosses val="autoZero"/>
        <c:auto val="1"/>
        <c:lblAlgn val="ctr"/>
        <c:lblOffset val="100"/>
        <c:noMultiLvlLbl val="0"/>
      </c:catAx>
      <c:valAx>
        <c:axId val="758082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7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Event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Tables!$G$1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Tables!$G$2:$G$19</c:f>
              <c:numCache>
                <c:formatCode>"$"#,##0.00</c:formatCode>
                <c:ptCount val="18"/>
                <c:pt idx="0">
                  <c:v>0</c:v>
                </c:pt>
                <c:pt idx="1">
                  <c:v>1220</c:v>
                </c:pt>
                <c:pt idx="2">
                  <c:v>0</c:v>
                </c:pt>
                <c:pt idx="3">
                  <c:v>166</c:v>
                </c:pt>
                <c:pt idx="4">
                  <c:v>70.849999999999994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4610.76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CCD-A109-A01CB3A87C19}"/>
            </c:ext>
          </c:extLst>
        </c:ser>
        <c:ser>
          <c:idx val="1"/>
          <c:order val="1"/>
          <c:tx>
            <c:strRef>
              <c:f>Tables!$H$1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Tables!$H$2:$H$19</c:f>
              <c:numCache>
                <c:formatCode>"$"#,##0.00</c:formatCode>
                <c:ptCount val="18"/>
                <c:pt idx="0">
                  <c:v>-715.56</c:v>
                </c:pt>
                <c:pt idx="1">
                  <c:v>-908.12</c:v>
                </c:pt>
                <c:pt idx="2">
                  <c:v>-521</c:v>
                </c:pt>
                <c:pt idx="3">
                  <c:v>-300</c:v>
                </c:pt>
                <c:pt idx="4">
                  <c:v>-166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-5825.25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6-4CCD-A109-A01CB3A87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02184"/>
        <c:axId val="334700520"/>
      </c:barChart>
      <c:catAx>
        <c:axId val="334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0520"/>
        <c:crosses val="autoZero"/>
        <c:auto val="1"/>
        <c:lblAlgn val="ctr"/>
        <c:lblOffset val="100"/>
        <c:noMultiLvlLbl val="0"/>
      </c:catAx>
      <c:valAx>
        <c:axId val="33470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381000</xdr:colOff>
      <xdr:row>26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19</xdr:col>
      <xdr:colOff>247650</xdr:colOff>
      <xdr:row>54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1059BBE-4522-4E4A-BF65-83A5CDF42472}"/>
            </a:ext>
            <a:ext uri="{147F2762-F138-4A5C-976F-8EAC2B608ADB}">
              <a16:predDERef xmlns:a16="http://schemas.microsoft.com/office/drawing/2014/main" pre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19-10-07T12:29:52.47" personId="{00000000-0000-0000-0000-000000000000}" id="{D1CE9CE1-28F1-4DA5-A671-940B930B4A3E}">
    <text xml:space="preserve">Has also taken a bag
</text>
  </threadedComment>
  <threadedComment ref="C21" dT="2019-10-07T12:32:05.20" personId="{00000000-0000-0000-0000-000000000000}" id="{58D6211E-FB20-4551-9143-031F887ECACB}">
    <text xml:space="preserve">Has also taken a bag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zoomScaleNormal="100" workbookViewId="0">
      <selection activeCell="B16" sqref="B16"/>
    </sheetView>
  </sheetViews>
  <sheetFormatPr defaultRowHeight="15"/>
  <cols>
    <col min="1" max="1" width="31.42578125" bestFit="1" customWidth="1"/>
    <col min="2" max="2" width="18.28515625" style="1" customWidth="1"/>
    <col min="5" max="5" width="25.140625" customWidth="1"/>
    <col min="6" max="6" width="14.7109375" style="2" customWidth="1"/>
    <col min="8" max="8" width="25.42578125" bestFit="1" customWidth="1"/>
    <col min="9" max="9" width="12" bestFit="1" customWidth="1"/>
    <col min="11" max="11" width="10.28515625" bestFit="1" customWidth="1"/>
  </cols>
  <sheetData>
    <row r="1" spans="1:11">
      <c r="A1" t="s">
        <v>0</v>
      </c>
      <c r="B1" s="1">
        <v>3950.03</v>
      </c>
      <c r="E1" t="s">
        <v>1</v>
      </c>
      <c r="F1" s="2">
        <f>SUM($B$1:$B$3)</f>
        <v>17764.59</v>
      </c>
    </row>
    <row r="2" spans="1:11">
      <c r="A2" t="s">
        <v>2</v>
      </c>
      <c r="B2" s="1">
        <v>13814.56</v>
      </c>
      <c r="E2" t="s">
        <v>3</v>
      </c>
      <c r="F2" s="2">
        <f>F3-F1</f>
        <v>-4061.6599999999962</v>
      </c>
      <c r="K2" s="1"/>
    </row>
    <row r="3" spans="1:11">
      <c r="A3" t="s">
        <v>4</v>
      </c>
      <c r="B3" s="1">
        <f>Cash!$G$2</f>
        <v>0</v>
      </c>
      <c r="E3" s="5" t="s">
        <v>5</v>
      </c>
      <c r="F3" s="13">
        <f>'BOQ Cheque'!$J$1+Cash!$J$1+'BOQ Savings'!$J$1</f>
        <v>13702.930000000004</v>
      </c>
      <c r="K3" s="54"/>
    </row>
    <row r="4" spans="1:11">
      <c r="F4" s="54"/>
    </row>
    <row r="5" spans="1:11">
      <c r="A5" t="s">
        <v>6</v>
      </c>
      <c r="B5" s="1">
        <f>SUM('BOQ Cheque'!G:G)-B1</f>
        <v>-2727.6799999999994</v>
      </c>
    </row>
    <row r="6" spans="1:11">
      <c r="A6" t="s">
        <v>7</v>
      </c>
      <c r="B6" s="1">
        <f>SUM('BOQ Savings'!G:G)-Summary!$B$2</f>
        <v>-1599.8299999999963</v>
      </c>
    </row>
    <row r="7" spans="1:11">
      <c r="A7" t="s">
        <v>8</v>
      </c>
      <c r="B7" s="1">
        <f>SUM(Cash!G:G)-Summary!B3</f>
        <v>265.85000000000002</v>
      </c>
    </row>
    <row r="12" spans="1:11">
      <c r="A12" s="88" t="s">
        <v>9</v>
      </c>
      <c r="B12" s="89"/>
      <c r="E12" s="90" t="s">
        <v>10</v>
      </c>
      <c r="F12" s="91"/>
      <c r="H12" s="92" t="s">
        <v>11</v>
      </c>
      <c r="I12" s="93"/>
    </row>
    <row r="13" spans="1:11">
      <c r="A13" s="15" t="s">
        <v>12</v>
      </c>
      <c r="B13" s="16">
        <f>B1+B5</f>
        <v>1222.3500000000008</v>
      </c>
      <c r="E13" s="15" t="s">
        <v>13</v>
      </c>
      <c r="F13" s="16">
        <f>SUMIF('BOQ Cheque'!D:D,$E13,'BOQ Cheque'!G:G) + SUMIF('BOQ Savings'!D:D,$E13,'BOQ Savings'!G:G) + SUMIF(Cash!D:D,$E13,Cash!G:G)</f>
        <v>120.76</v>
      </c>
      <c r="H13" s="68" t="s">
        <v>14</v>
      </c>
      <c r="I13" s="69">
        <f>SUMIF('BOQ Cheque'!E:E,$H13,'BOQ Cheque'!G:G) + SUMIF('BOQ Savings'!E:E,$H13,'BOQ Savings'!G:G) + SUMIF(Cash!E:E,$H13,Cash!G:G)</f>
        <v>-715.56</v>
      </c>
    </row>
    <row r="14" spans="1:11">
      <c r="A14" s="9" t="s">
        <v>15</v>
      </c>
      <c r="B14" s="11">
        <f>B3+B7</f>
        <v>265.85000000000002</v>
      </c>
      <c r="E14" s="9" t="s">
        <v>16</v>
      </c>
      <c r="F14" s="16">
        <f>SUMIF('BOQ Cheque'!D:D,$E14,'BOQ Cheque'!G:G) + SUMIF('BOQ Savings'!D:D,$E14,'BOQ Savings'!G:G) + SUMIF(Cash!D:D,$E14,Cash!G:G)</f>
        <v>94.889999999999986</v>
      </c>
      <c r="H14" s="63" t="s">
        <v>17</v>
      </c>
      <c r="I14" s="64">
        <f>SUMIF('BOQ Cheque'!E:E,$H14,'BOQ Cheque'!G:G) + SUMIF('BOQ Savings'!E:E,$H14,'BOQ Savings'!G:G) + SUMIF(Cash!E:E,$H14,Cash!G:G)</f>
        <v>311.88</v>
      </c>
    </row>
    <row r="15" spans="1:11">
      <c r="A15" s="10" t="s">
        <v>18</v>
      </c>
      <c r="B15" s="12">
        <f>B2+B6</f>
        <v>12214.730000000003</v>
      </c>
      <c r="E15" s="9" t="s">
        <v>19</v>
      </c>
      <c r="F15" s="16">
        <f>SUMIF('BOQ Cheque'!D:D,$E15,'BOQ Cheque'!G:G) + SUMIF('BOQ Savings'!D:D,$E15,'BOQ Savings'!G:G) + SUMIF(Cash!D:D,$E15,Cash!G:G)</f>
        <v>-500</v>
      </c>
      <c r="H15" s="63" t="s">
        <v>20</v>
      </c>
      <c r="I15" s="64">
        <f>SUMIF('BOQ Cheque'!E:E,$H15,'BOQ Cheque'!G:G) + SUMIF('BOQ Savings'!E:E,$H15,'BOQ Savings'!G:G) + SUMIF(Cash!E:E,$H15,Cash!G:G)</f>
        <v>-521</v>
      </c>
    </row>
    <row r="16" spans="1:11">
      <c r="A16" s="14" t="s">
        <v>21</v>
      </c>
      <c r="B16" s="13">
        <f>F1+F2</f>
        <v>13702.930000000004</v>
      </c>
      <c r="E16" s="9" t="s">
        <v>22</v>
      </c>
      <c r="F16" s="16">
        <f>SUMIF('BOQ Cheque'!D:D,$E16,'BOQ Cheque'!G:G) + SUMIF('BOQ Savings'!D:D,$E16,'BOQ Savings'!G:G) + SUMIF(Cash!D:D,$E16,Cash!G:G)</f>
        <v>0</v>
      </c>
      <c r="H16" s="63" t="s">
        <v>23</v>
      </c>
      <c r="I16" s="64">
        <f>SUMIF('BOQ Cheque'!E:E,$H16,'BOQ Cheque'!G:G) + SUMIF('BOQ Savings'!E:E,$H16,'BOQ Savings'!G:G) + SUMIF(Cash!E:E,$H16,Cash!G:G)</f>
        <v>-134</v>
      </c>
      <c r="K16" s="54"/>
    </row>
    <row r="17" spans="2:11">
      <c r="B17" s="2"/>
      <c r="E17" s="9" t="s">
        <v>24</v>
      </c>
      <c r="F17" s="16">
        <f>SUMIF('BOQ Cheque'!D:D,$E17,'BOQ Cheque'!G:G) + SUMIF('BOQ Savings'!D:D,$E17,'BOQ Savings'!G:G) + SUMIF(Cash!D:D,$E17,Cash!G:G)</f>
        <v>165</v>
      </c>
      <c r="H17" s="63" t="s">
        <v>25</v>
      </c>
      <c r="I17" s="64">
        <f>SUMIF('BOQ Cheque'!E:E,$H17,'BOQ Cheque'!G:G) + SUMIF('BOQ Savings'!E:E,$H17,'BOQ Savings'!G:G) + SUMIF(Cash!E:E,$H17,Cash!G:G)</f>
        <v>-95.15</v>
      </c>
    </row>
    <row r="18" spans="2:11">
      <c r="B18" s="2"/>
      <c r="E18" s="9" t="s">
        <v>26</v>
      </c>
      <c r="F18" s="16">
        <f>SUMIF('BOQ Cheque'!D:D,$E18,'BOQ Cheque'!G:G) + SUMIF('BOQ Savings'!D:D,$E18,'BOQ Savings'!G:G) + SUMIF(Cash!D:D,$E18,Cash!G:G)</f>
        <v>-211.16</v>
      </c>
      <c r="H18" s="63" t="s">
        <v>27</v>
      </c>
      <c r="I18" s="64">
        <f>SUMIF('BOQ Cheque'!E:E,$H18,'BOQ Cheque'!G:G) + SUMIF('BOQ Savings'!E:E,$H18,'BOQ Savings'!G:G) + SUMIF(Cash!E:E,$H18,Cash!G:G)</f>
        <v>-840</v>
      </c>
    </row>
    <row r="19" spans="2:11">
      <c r="E19" s="9" t="s">
        <v>28</v>
      </c>
      <c r="F19" s="16">
        <f>SUMIF('BOQ Cheque'!D:D,$E19,'BOQ Cheque'!G:G) + SUMIF('BOQ Savings'!D:D,$E19,'BOQ Savings'!G:G) + SUMIF(Cash!D:D,$E19,Cash!G:G)</f>
        <v>-890.71</v>
      </c>
      <c r="H19" s="63" t="s">
        <v>29</v>
      </c>
      <c r="I19" s="64">
        <f>SUMIF('BOQ Cheque'!E:E,$H19,'BOQ Cheque'!G:G) + SUMIF('BOQ Savings'!E:E,$H19,'BOQ Savings'!G:G) + SUMIF(Cash!E:E,$H19,Cash!G:G)</f>
        <v>-205</v>
      </c>
    </row>
    <row r="20" spans="2:11">
      <c r="E20" s="9" t="s">
        <v>30</v>
      </c>
      <c r="F20" s="16">
        <f>SUMIF('BOQ Cheque'!D:D,$E20,'BOQ Cheque'!G:G) + SUMIF('BOQ Savings'!D:D,$E20,'BOQ Savings'!G:G) + SUMIF(Cash!D:D,$E20,Cash!G:G)</f>
        <v>0</v>
      </c>
      <c r="H20" s="63" t="s">
        <v>31</v>
      </c>
      <c r="I20" s="64">
        <f>SUMIF('BOQ Cheque'!E:E,$H20,'BOQ Cheque'!G:G) + SUMIF('BOQ Savings'!E:E,$H20,'BOQ Savings'!G:G) + SUMIF(Cash!E:E,$H20,Cash!G:G)</f>
        <v>0</v>
      </c>
      <c r="K20" s="1"/>
    </row>
    <row r="21" spans="2:11">
      <c r="E21" s="9" t="s">
        <v>32</v>
      </c>
      <c r="F21" s="16">
        <f>SUMIF('BOQ Cheque'!D:D,$E21,'BOQ Cheque'!G:G) + SUMIF('BOQ Savings'!D:D,$E21,'BOQ Savings'!G:G) + SUMIF(Cash!D:D,$E21,Cash!G:G)</f>
        <v>-773.19</v>
      </c>
      <c r="H21" s="63" t="s">
        <v>33</v>
      </c>
      <c r="I21" s="64">
        <f>SUMIF('BOQ Cheque'!E:E,$H21,'BOQ Cheque'!G:G) + SUMIF('BOQ Savings'!E:E,$H21,'BOQ Savings'!G:G) + SUMIF(Cash!E:E,$H21,Cash!G:G)</f>
        <v>0</v>
      </c>
    </row>
    <row r="22" spans="2:11">
      <c r="E22" s="9" t="s">
        <v>34</v>
      </c>
      <c r="F22" s="16">
        <f>SUMIF('BOQ Cheque'!D:D,$E22,'BOQ Cheque'!G:G) + SUMIF('BOQ Savings'!D:D,$E22,'BOQ Savings'!G:G) + SUMIF(Cash!D:D,$E22,Cash!G:G)</f>
        <v>-2418.91</v>
      </c>
      <c r="H22" s="63" t="s">
        <v>35</v>
      </c>
      <c r="I22" s="64">
        <f>SUMIF('BOQ Cheque'!E:E,$H22,'BOQ Cheque'!G:G) + SUMIF('BOQ Savings'!E:E,$H22,'BOQ Savings'!G:G) + SUMIF(Cash!E:E,$H22,Cash!G:G)</f>
        <v>0</v>
      </c>
    </row>
    <row r="23" spans="2:11">
      <c r="E23" s="10" t="s">
        <v>36</v>
      </c>
      <c r="F23" s="62">
        <f>SUMIF('BOQ Cheque'!D:D,$E23,'BOQ Cheque'!G:G) + SUMIF('BOQ Savings'!D:D,$E23,'BOQ Savings'!G:G) + SUMIF(Cash!D:D,$E23,Cash!G:G)</f>
        <v>1000</v>
      </c>
      <c r="H23" s="63" t="s">
        <v>37</v>
      </c>
      <c r="I23" s="64">
        <f>SUMIF('BOQ Cheque'!E:E,$H23,'BOQ Cheque'!G:G) + SUMIF('BOQ Savings'!E:E,$H23,'BOQ Savings'!G:G) + SUMIF(Cash!E:E,$H23,Cash!G:G)</f>
        <v>0</v>
      </c>
      <c r="K23" s="1"/>
    </row>
    <row r="24" spans="2:11">
      <c r="E24" s="58" t="s">
        <v>38</v>
      </c>
      <c r="F24" s="2">
        <f>SUM(F13:F23)</f>
        <v>-3413.3199999999997</v>
      </c>
      <c r="H24" s="63" t="s">
        <v>39</v>
      </c>
      <c r="I24" s="64">
        <f>SUMIF('BOQ Cheque'!E:E,$H24,'BOQ Cheque'!G:G) + SUMIF('BOQ Savings'!E:E,$H24,'BOQ Savings'!G:G) + SUMIF(Cash!E:E,$H24,Cash!G:G)</f>
        <v>0</v>
      </c>
      <c r="K24" s="54"/>
    </row>
    <row r="25" spans="2:11">
      <c r="E25" s="58"/>
      <c r="H25" s="66" t="s">
        <v>40</v>
      </c>
      <c r="I25" s="67">
        <f>SUMIF('BOQ Cheque'!E:E,$H25,'BOQ Cheque'!G:G) + SUMIF('BOQ Savings'!E:E,$H25,'BOQ Savings'!G:G) + SUMIF(Cash!E:E,$H25,Cash!G:G)</f>
        <v>0</v>
      </c>
    </row>
    <row r="26" spans="2:11">
      <c r="H26" s="70" t="s">
        <v>41</v>
      </c>
      <c r="I26" s="73">
        <f>SUMIF('BOQ Cheque'!E:E,$H26,'BOQ Cheque'!G:G) + SUMIF('BOQ Savings'!E:E,$H26,'BOQ Savings'!G:G) + SUMIF(Cash!E:E,$H26,Cash!G:G)</f>
        <v>0</v>
      </c>
    </row>
    <row r="27" spans="2:11">
      <c r="H27" s="70" t="s">
        <v>42</v>
      </c>
      <c r="I27" s="73">
        <f>SUMIF('BOQ Cheque'!E:E,$H27,'BOQ Cheque'!G:G) + SUMIF('BOQ Savings'!E:E,$H27,'BOQ Savings'!G:G) + SUMIF(Cash!E:E,$H27,Cash!G:G)</f>
        <v>0</v>
      </c>
      <c r="K27" s="1"/>
    </row>
    <row r="28" spans="2:11">
      <c r="H28" s="70" t="s">
        <v>43</v>
      </c>
      <c r="I28" s="73">
        <f>SUMIF('BOQ Cheque'!E:E,$H28,'BOQ Cheque'!G:G) + SUMIF('BOQ Savings'!E:E,$H28,'BOQ Savings'!G:G) + SUMIF(Cash!E:E,$H28,Cash!G:G)</f>
        <v>0</v>
      </c>
      <c r="K28" s="1"/>
    </row>
    <row r="29" spans="2:11">
      <c r="H29" s="74" t="s">
        <v>44</v>
      </c>
      <c r="I29" s="73">
        <f>SUMIF('BOQ Cheque'!E:E,$H29,'BOQ Cheque'!G:G) + SUMIF('BOQ Savings'!E:E,$H29,'BOQ Savings'!G:G) + SUMIF(Cash!E:E,$H29,Cash!G:G)</f>
        <v>0</v>
      </c>
    </row>
    <row r="30" spans="2:11">
      <c r="H30" s="71" t="s">
        <v>45</v>
      </c>
      <c r="I30" s="72">
        <f>SUMIF('BOQ Cheque'!E:E,$H30,'BOQ Cheque'!G:G) + SUMIF('BOQ Savings'!E:E,$H30,'BOQ Savings'!G:G) + SUMIF(Cash!E:E,$H30,Cash!G:G)</f>
        <v>-1214.4900000000002</v>
      </c>
    </row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6"/>
  <sheetViews>
    <sheetView topLeftCell="B47" workbookViewId="0">
      <selection activeCell="L62" sqref="L62:M63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4" width="20.7109375" customWidth="1"/>
    <col min="5" max="5" width="27" style="82" customWidth="1"/>
    <col min="6" max="6" width="5.140625" bestFit="1" customWidth="1"/>
    <col min="7" max="7" width="20.7109375" style="1" customWidth="1"/>
    <col min="8" max="8" width="20.7109375" style="5" customWidth="1"/>
    <col min="9" max="9" width="7.7109375" customWidth="1"/>
    <col min="10" max="10" width="9.140625" style="1"/>
    <col min="12" max="12" width="9.28515625" style="1" bestFit="1" customWidth="1"/>
    <col min="13" max="13" width="12" style="1" bestFit="1" customWidth="1"/>
  </cols>
  <sheetData>
    <row r="1" spans="1:15">
      <c r="A1" s="8" t="s">
        <v>46</v>
      </c>
      <c r="B1" s="3" t="s">
        <v>47</v>
      </c>
      <c r="C1" s="3" t="s">
        <v>48</v>
      </c>
      <c r="D1" s="3" t="s">
        <v>49</v>
      </c>
      <c r="E1" s="83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1222.3500000000006</v>
      </c>
      <c r="L1" s="1" t="s">
        <v>54</v>
      </c>
      <c r="M1" s="1" t="s">
        <v>55</v>
      </c>
    </row>
    <row r="2" spans="1:15">
      <c r="A2" s="7">
        <v>43252</v>
      </c>
      <c r="B2" t="s">
        <v>56</v>
      </c>
      <c r="C2" t="s">
        <v>57</v>
      </c>
      <c r="G2" s="1">
        <v>3021.11</v>
      </c>
      <c r="H2" s="2">
        <f>G2</f>
        <v>3021.11</v>
      </c>
      <c r="O2" t="str">
        <f>IF(E2="End of Season Dinner",C2,"")</f>
        <v/>
      </c>
    </row>
    <row r="3" spans="1:15">
      <c r="A3" s="7">
        <v>43635</v>
      </c>
      <c r="B3" t="s">
        <v>58</v>
      </c>
      <c r="C3" t="s">
        <v>59</v>
      </c>
      <c r="D3" t="str">
        <f>Summary!$E$21</f>
        <v>Miscellaneous</v>
      </c>
      <c r="E3" s="82" t="str">
        <f>Summary!$H$13</f>
        <v>AGM</v>
      </c>
      <c r="G3" s="1">
        <v>-373.56</v>
      </c>
      <c r="H3" s="2">
        <f>H2+G3</f>
        <v>2647.55</v>
      </c>
      <c r="L3" s="1">
        <f t="shared" ref="L3:L6" si="0">IF(G3&gt; 0, G3, 0)</f>
        <v>0</v>
      </c>
      <c r="M3" s="1">
        <f t="shared" ref="M3:M6" si="1">IF(G3&lt;0, G3, 0)</f>
        <v>-373.56</v>
      </c>
      <c r="O3" t="str">
        <f t="shared" ref="O3:O65" si="2">IF(E3="End of Season Dinner",C3,"")</f>
        <v/>
      </c>
    </row>
    <row r="4" spans="1:15">
      <c r="A4" s="7">
        <v>43646</v>
      </c>
      <c r="B4" t="s">
        <v>60</v>
      </c>
      <c r="C4" s="47" t="s">
        <v>13</v>
      </c>
      <c r="D4" t="str">
        <f>Summary!$E$13</f>
        <v>Interest</v>
      </c>
      <c r="E4" s="82" t="str">
        <f>Summary!$H$30</f>
        <v>None</v>
      </c>
      <c r="G4" s="1">
        <v>0.32</v>
      </c>
      <c r="H4" s="2">
        <f t="shared" ref="H4:H44" si="3">H3+G4</f>
        <v>2647.8700000000003</v>
      </c>
      <c r="L4" s="1">
        <f t="shared" si="0"/>
        <v>0.32</v>
      </c>
      <c r="M4" s="1">
        <f t="shared" si="1"/>
        <v>0</v>
      </c>
      <c r="O4" t="str">
        <f t="shared" si="2"/>
        <v/>
      </c>
    </row>
    <row r="5" spans="1:15">
      <c r="A5" s="7">
        <v>43677</v>
      </c>
      <c r="B5" t="s">
        <v>61</v>
      </c>
      <c r="C5" t="s">
        <v>62</v>
      </c>
      <c r="D5" t="str">
        <f>Summary!$E$22</f>
        <v>Social</v>
      </c>
      <c r="E5" s="82" t="str">
        <f>Summary!$H$13</f>
        <v>AGM</v>
      </c>
      <c r="G5" s="1">
        <v>-342</v>
      </c>
      <c r="H5" s="2">
        <f t="shared" si="3"/>
        <v>2305.8700000000003</v>
      </c>
      <c r="L5" s="1">
        <f t="shared" si="0"/>
        <v>0</v>
      </c>
      <c r="M5" s="1">
        <f t="shared" si="1"/>
        <v>-342</v>
      </c>
      <c r="O5" t="str">
        <f t="shared" si="2"/>
        <v/>
      </c>
    </row>
    <row r="6" spans="1:15">
      <c r="A6" s="7">
        <v>43677</v>
      </c>
      <c r="B6" t="s">
        <v>63</v>
      </c>
      <c r="C6" s="47" t="s">
        <v>13</v>
      </c>
      <c r="D6" t="str">
        <f>Summary!$E$13</f>
        <v>Interest</v>
      </c>
      <c r="E6" s="82" t="str">
        <f>Summary!$H$30</f>
        <v>None</v>
      </c>
      <c r="G6" s="1">
        <v>0.28999999999999998</v>
      </c>
      <c r="H6" s="2">
        <f t="shared" si="3"/>
        <v>2306.1600000000003</v>
      </c>
      <c r="L6" s="1">
        <f t="shared" si="0"/>
        <v>0.28999999999999998</v>
      </c>
      <c r="M6" s="1">
        <f t="shared" si="1"/>
        <v>0</v>
      </c>
      <c r="O6" t="str">
        <f t="shared" si="2"/>
        <v/>
      </c>
    </row>
    <row r="7" spans="1:15">
      <c r="A7" s="7">
        <v>43690</v>
      </c>
      <c r="B7" t="s">
        <v>64</v>
      </c>
      <c r="C7" t="s">
        <v>65</v>
      </c>
      <c r="D7" t="str">
        <f>Summary!$E$21</f>
        <v>Miscellaneous</v>
      </c>
      <c r="E7" s="82" t="str">
        <f>Summary!$H$30</f>
        <v>None</v>
      </c>
      <c r="G7" s="1">
        <v>-86.63</v>
      </c>
      <c r="H7" s="2">
        <f t="shared" si="3"/>
        <v>2219.5300000000002</v>
      </c>
      <c r="L7" s="1">
        <f t="shared" ref="L7:L32" si="4">IF(G7&gt; 0, G7, 0)</f>
        <v>0</v>
      </c>
      <c r="M7" s="1">
        <f t="shared" ref="M7:M32" si="5">IF(G7&lt;0, G7, 0)</f>
        <v>-86.63</v>
      </c>
      <c r="O7" t="str">
        <f t="shared" si="2"/>
        <v/>
      </c>
    </row>
    <row r="8" spans="1:15">
      <c r="A8" s="7">
        <v>43704</v>
      </c>
      <c r="B8" t="s">
        <v>66</v>
      </c>
      <c r="C8" s="47" t="s">
        <v>67</v>
      </c>
      <c r="D8" t="str">
        <f>Summary!$E$21</f>
        <v>Miscellaneous</v>
      </c>
      <c r="E8" s="82" t="str">
        <f>Summary!$H$30</f>
        <v>None</v>
      </c>
      <c r="G8" s="1">
        <v>-313</v>
      </c>
      <c r="H8" s="2">
        <f t="shared" si="3"/>
        <v>1906.5300000000002</v>
      </c>
      <c r="L8" s="1">
        <f t="shared" si="4"/>
        <v>0</v>
      </c>
      <c r="M8" s="1">
        <f t="shared" si="5"/>
        <v>-313</v>
      </c>
      <c r="O8" t="str">
        <f t="shared" si="2"/>
        <v/>
      </c>
    </row>
    <row r="9" spans="1:15">
      <c r="A9" s="7">
        <v>43708</v>
      </c>
      <c r="B9" t="s">
        <v>68</v>
      </c>
      <c r="C9" t="s">
        <v>69</v>
      </c>
      <c r="D9" t="str">
        <f>Summary!$E$22</f>
        <v>Social</v>
      </c>
      <c r="E9" s="82" t="str">
        <f>Summary!$H$15</f>
        <v>Seminar drinks</v>
      </c>
      <c r="G9" s="1">
        <v>-521</v>
      </c>
      <c r="H9" s="2">
        <f t="shared" si="3"/>
        <v>1385.5300000000002</v>
      </c>
      <c r="L9" s="1">
        <f t="shared" si="4"/>
        <v>0</v>
      </c>
      <c r="M9" s="1">
        <f t="shared" si="5"/>
        <v>-521</v>
      </c>
      <c r="O9" t="str">
        <f t="shared" si="2"/>
        <v/>
      </c>
    </row>
    <row r="10" spans="1:15">
      <c r="A10" s="7">
        <v>43708</v>
      </c>
      <c r="B10" t="s">
        <v>70</v>
      </c>
      <c r="C10" s="47" t="s">
        <v>13</v>
      </c>
      <c r="D10" t="str">
        <f>Summary!$E$13</f>
        <v>Interest</v>
      </c>
      <c r="E10" s="82" t="str">
        <f>Summary!$H$30</f>
        <v>None</v>
      </c>
      <c r="G10" s="1">
        <v>0.17</v>
      </c>
      <c r="H10" s="2">
        <f t="shared" si="3"/>
        <v>1385.7000000000003</v>
      </c>
      <c r="L10" s="1">
        <f t="shared" si="4"/>
        <v>0.17</v>
      </c>
      <c r="M10" s="1">
        <f t="shared" si="5"/>
        <v>0</v>
      </c>
      <c r="O10" t="str">
        <f t="shared" si="2"/>
        <v/>
      </c>
    </row>
    <row r="11" spans="1:15">
      <c r="A11" s="7">
        <v>43719</v>
      </c>
      <c r="B11" t="s">
        <v>71</v>
      </c>
      <c r="C11" t="s">
        <v>72</v>
      </c>
      <c r="D11" t="str">
        <f>Summary!$E$15</f>
        <v>Venue Hire</v>
      </c>
      <c r="E11" s="82" t="str">
        <f>Summary!$H$14</f>
        <v>Season</v>
      </c>
      <c r="G11" s="1">
        <v>-500</v>
      </c>
      <c r="H11" s="2">
        <f t="shared" si="3"/>
        <v>885.70000000000027</v>
      </c>
      <c r="L11" s="1">
        <f t="shared" si="4"/>
        <v>0</v>
      </c>
      <c r="M11" s="1">
        <f t="shared" si="5"/>
        <v>-500</v>
      </c>
      <c r="O11" t="str">
        <f t="shared" si="2"/>
        <v/>
      </c>
    </row>
    <row r="12" spans="1:15">
      <c r="A12" s="7">
        <v>43719</v>
      </c>
      <c r="B12" t="s">
        <v>73</v>
      </c>
      <c r="C12" t="s">
        <v>74</v>
      </c>
      <c r="D12" t="str">
        <f>Summary!$E$18</f>
        <v>Marketing</v>
      </c>
      <c r="E12" s="82" t="str">
        <f>Summary!$H$14</f>
        <v>Season</v>
      </c>
      <c r="G12" s="1">
        <v>-211.16</v>
      </c>
      <c r="H12" s="2">
        <f t="shared" si="3"/>
        <v>674.5400000000003</v>
      </c>
      <c r="L12" s="1">
        <f t="shared" si="4"/>
        <v>0</v>
      </c>
      <c r="M12" s="1">
        <f t="shared" si="5"/>
        <v>-211.16</v>
      </c>
      <c r="O12" t="str">
        <f t="shared" si="2"/>
        <v/>
      </c>
    </row>
    <row r="13" spans="1:15">
      <c r="A13" s="7">
        <v>43724</v>
      </c>
      <c r="B13" t="s">
        <v>75</v>
      </c>
      <c r="C13" t="s">
        <v>76</v>
      </c>
      <c r="D13" t="str">
        <f>Summary!$E$19</f>
        <v>Merchandise</v>
      </c>
      <c r="E13" s="82" t="str">
        <f>Summary!$H$30</f>
        <v>None</v>
      </c>
      <c r="G13" s="1">
        <v>85</v>
      </c>
      <c r="H13" s="2">
        <f t="shared" si="3"/>
        <v>759.5400000000003</v>
      </c>
      <c r="L13" s="1">
        <f t="shared" si="4"/>
        <v>85</v>
      </c>
      <c r="M13" s="1">
        <f t="shared" si="5"/>
        <v>0</v>
      </c>
      <c r="O13" t="str">
        <f t="shared" si="2"/>
        <v/>
      </c>
    </row>
    <row r="14" spans="1:15">
      <c r="A14" s="7">
        <v>43724</v>
      </c>
      <c r="B14" t="s">
        <v>77</v>
      </c>
      <c r="C14" t="s">
        <v>78</v>
      </c>
      <c r="D14" t="str">
        <f>Summary!$E$19</f>
        <v>Merchandise</v>
      </c>
      <c r="E14" s="82" t="str">
        <f>Summary!$H$30</f>
        <v>None</v>
      </c>
      <c r="G14" s="1">
        <v>50</v>
      </c>
      <c r="H14" s="2">
        <f t="shared" si="3"/>
        <v>809.5400000000003</v>
      </c>
      <c r="L14" s="1">
        <f t="shared" si="4"/>
        <v>50</v>
      </c>
      <c r="M14" s="1">
        <f t="shared" si="5"/>
        <v>0</v>
      </c>
      <c r="O14" t="str">
        <f t="shared" si="2"/>
        <v/>
      </c>
    </row>
    <row r="15" spans="1:15">
      <c r="A15" s="7">
        <v>43724</v>
      </c>
      <c r="B15" t="s">
        <v>79</v>
      </c>
      <c r="C15" t="s">
        <v>80</v>
      </c>
      <c r="D15" t="str">
        <f>Summary!$E$19</f>
        <v>Merchandise</v>
      </c>
      <c r="E15" s="82" t="str">
        <f>Summary!$H$30</f>
        <v>None</v>
      </c>
      <c r="G15" s="1">
        <v>100</v>
      </c>
      <c r="H15" s="2">
        <f t="shared" si="3"/>
        <v>909.5400000000003</v>
      </c>
      <c r="L15" s="1">
        <f t="shared" si="4"/>
        <v>100</v>
      </c>
      <c r="M15" s="1">
        <f t="shared" si="5"/>
        <v>0</v>
      </c>
      <c r="O15" t="str">
        <f t="shared" si="2"/>
        <v/>
      </c>
    </row>
    <row r="16" spans="1:15">
      <c r="A16" s="7">
        <v>43724</v>
      </c>
      <c r="B16" t="s">
        <v>81</v>
      </c>
      <c r="C16" t="s">
        <v>82</v>
      </c>
      <c r="D16" t="str">
        <f>Summary!$E$19</f>
        <v>Merchandise</v>
      </c>
      <c r="E16" s="82" t="str">
        <f>Summary!$H$30</f>
        <v>None</v>
      </c>
      <c r="G16" s="1">
        <v>15</v>
      </c>
      <c r="H16" s="2">
        <f t="shared" si="3"/>
        <v>924.5400000000003</v>
      </c>
      <c r="L16" s="1">
        <f t="shared" si="4"/>
        <v>15</v>
      </c>
      <c r="M16" s="1">
        <f t="shared" si="5"/>
        <v>0</v>
      </c>
      <c r="O16" t="str">
        <f t="shared" si="2"/>
        <v/>
      </c>
    </row>
    <row r="17" spans="1:15">
      <c r="A17" s="7">
        <v>43724</v>
      </c>
      <c r="B17" t="s">
        <v>83</v>
      </c>
      <c r="C17" t="s">
        <v>84</v>
      </c>
      <c r="D17" t="str">
        <f>Summary!$E$19</f>
        <v>Merchandise</v>
      </c>
      <c r="E17" s="82" t="str">
        <f>Summary!$H$30</f>
        <v>None</v>
      </c>
      <c r="G17" s="1">
        <v>100</v>
      </c>
      <c r="H17" s="2">
        <f t="shared" si="3"/>
        <v>1024.5400000000004</v>
      </c>
      <c r="L17" s="1">
        <f t="shared" si="4"/>
        <v>100</v>
      </c>
      <c r="M17" s="1">
        <f t="shared" si="5"/>
        <v>0</v>
      </c>
      <c r="O17" t="str">
        <f t="shared" si="2"/>
        <v/>
      </c>
    </row>
    <row r="18" spans="1:15">
      <c r="A18" s="7">
        <v>43725</v>
      </c>
      <c r="B18" t="s">
        <v>85</v>
      </c>
      <c r="C18" s="56" t="s">
        <v>86</v>
      </c>
      <c r="D18" t="str">
        <f>Summary!$E$19</f>
        <v>Merchandise</v>
      </c>
      <c r="E18" s="82" t="str">
        <f>Summary!$H$30</f>
        <v>None</v>
      </c>
      <c r="G18" s="1">
        <v>50</v>
      </c>
      <c r="H18" s="2">
        <f t="shared" si="3"/>
        <v>1074.5400000000004</v>
      </c>
      <c r="L18" s="1">
        <f t="shared" si="4"/>
        <v>50</v>
      </c>
      <c r="M18" s="1">
        <f t="shared" si="5"/>
        <v>0</v>
      </c>
      <c r="O18" t="str">
        <f t="shared" si="2"/>
        <v/>
      </c>
    </row>
    <row r="19" spans="1:15">
      <c r="A19" s="7">
        <v>43725</v>
      </c>
      <c r="B19" t="s">
        <v>87</v>
      </c>
      <c r="C19" t="s">
        <v>88</v>
      </c>
      <c r="D19" t="str">
        <f>Summary!$E$19</f>
        <v>Merchandise</v>
      </c>
      <c r="E19" s="82" t="str">
        <f>Summary!$H$30</f>
        <v>None</v>
      </c>
      <c r="G19" s="1">
        <v>15</v>
      </c>
      <c r="H19" s="2">
        <f t="shared" si="3"/>
        <v>1089.5400000000004</v>
      </c>
      <c r="L19" s="1">
        <f t="shared" si="4"/>
        <v>15</v>
      </c>
      <c r="M19" s="1">
        <f t="shared" si="5"/>
        <v>0</v>
      </c>
      <c r="O19" t="str">
        <f t="shared" si="2"/>
        <v/>
      </c>
    </row>
    <row r="20" spans="1:15">
      <c r="A20" s="7">
        <v>43726</v>
      </c>
      <c r="B20" t="s">
        <v>89</v>
      </c>
      <c r="C20" t="s">
        <v>90</v>
      </c>
      <c r="D20" t="str">
        <f>Summary!$E$19</f>
        <v>Merchandise</v>
      </c>
      <c r="E20" s="82" t="str">
        <f>Summary!$H$30</f>
        <v>None</v>
      </c>
      <c r="G20" s="1">
        <v>15</v>
      </c>
      <c r="H20" s="2">
        <f t="shared" si="3"/>
        <v>1104.5400000000004</v>
      </c>
      <c r="L20" s="1">
        <f t="shared" si="4"/>
        <v>15</v>
      </c>
      <c r="M20" s="1">
        <f t="shared" si="5"/>
        <v>0</v>
      </c>
      <c r="O20" t="str">
        <f t="shared" si="2"/>
        <v/>
      </c>
    </row>
    <row r="21" spans="1:15">
      <c r="A21" s="7">
        <v>43728</v>
      </c>
      <c r="B21" t="s">
        <v>91</v>
      </c>
      <c r="C21" s="56" t="s">
        <v>92</v>
      </c>
      <c r="D21" t="str">
        <f>Summary!$E$19</f>
        <v>Merchandise</v>
      </c>
      <c r="E21" s="82" t="str">
        <f>Summary!$H$30</f>
        <v>None</v>
      </c>
      <c r="G21" s="1">
        <v>100</v>
      </c>
      <c r="H21" s="2">
        <f t="shared" si="3"/>
        <v>1204.5400000000004</v>
      </c>
      <c r="L21" s="1">
        <f t="shared" si="4"/>
        <v>100</v>
      </c>
      <c r="M21" s="1">
        <f t="shared" si="5"/>
        <v>0</v>
      </c>
      <c r="O21" t="str">
        <f t="shared" si="2"/>
        <v/>
      </c>
    </row>
    <row r="22" spans="1:15">
      <c r="A22" s="7">
        <v>43731</v>
      </c>
      <c r="B22" t="s">
        <v>93</v>
      </c>
      <c r="C22" t="s">
        <v>94</v>
      </c>
      <c r="D22" t="str">
        <f>Summary!$E$19</f>
        <v>Merchandise</v>
      </c>
      <c r="E22" s="82" t="str">
        <f>Summary!$H$30</f>
        <v>None</v>
      </c>
      <c r="G22" s="1">
        <v>50</v>
      </c>
      <c r="H22" s="2">
        <f t="shared" si="3"/>
        <v>1254.5400000000004</v>
      </c>
      <c r="L22" s="1">
        <f t="shared" si="4"/>
        <v>50</v>
      </c>
      <c r="M22" s="1">
        <f t="shared" si="5"/>
        <v>0</v>
      </c>
      <c r="O22" t="str">
        <f t="shared" si="2"/>
        <v/>
      </c>
    </row>
    <row r="23" spans="1:15">
      <c r="A23" s="7">
        <v>43731</v>
      </c>
      <c r="B23" t="s">
        <v>95</v>
      </c>
      <c r="C23" t="s">
        <v>96</v>
      </c>
      <c r="D23" t="str">
        <f>Summary!$E$19</f>
        <v>Merchandise</v>
      </c>
      <c r="E23" s="82" t="str">
        <f>Summary!$H$30</f>
        <v>None</v>
      </c>
      <c r="G23" s="1">
        <v>50</v>
      </c>
      <c r="H23" s="2">
        <f t="shared" si="3"/>
        <v>1304.5400000000004</v>
      </c>
      <c r="L23" s="1">
        <f t="shared" si="4"/>
        <v>50</v>
      </c>
      <c r="M23" s="1">
        <f t="shared" si="5"/>
        <v>0</v>
      </c>
      <c r="O23" t="str">
        <f t="shared" si="2"/>
        <v/>
      </c>
    </row>
    <row r="24" spans="1:15">
      <c r="A24" s="7">
        <v>43731</v>
      </c>
      <c r="B24" t="s">
        <v>97</v>
      </c>
      <c r="C24" t="s">
        <v>98</v>
      </c>
      <c r="D24" t="str">
        <f>Summary!$E$19</f>
        <v>Merchandise</v>
      </c>
      <c r="E24" s="82" t="str">
        <f>Summary!$H$30</f>
        <v>None</v>
      </c>
      <c r="G24" s="1">
        <v>15</v>
      </c>
      <c r="H24" s="2">
        <f t="shared" si="3"/>
        <v>1319.5400000000004</v>
      </c>
      <c r="L24" s="1">
        <f t="shared" si="4"/>
        <v>15</v>
      </c>
      <c r="M24" s="1">
        <f t="shared" si="5"/>
        <v>0</v>
      </c>
      <c r="O24" t="str">
        <f t="shared" si="2"/>
        <v/>
      </c>
    </row>
    <row r="25" spans="1:15">
      <c r="A25" s="7">
        <v>43732</v>
      </c>
      <c r="B25" t="s">
        <v>99</v>
      </c>
      <c r="C25" t="s">
        <v>100</v>
      </c>
      <c r="D25" t="str">
        <f>Summary!$E$19</f>
        <v>Merchandise</v>
      </c>
      <c r="E25" s="82" t="str">
        <f>Summary!$H$30</f>
        <v>None</v>
      </c>
      <c r="G25" s="1">
        <v>15</v>
      </c>
      <c r="H25" s="2">
        <f t="shared" si="3"/>
        <v>1334.5400000000004</v>
      </c>
      <c r="L25" s="1">
        <f t="shared" si="4"/>
        <v>15</v>
      </c>
      <c r="M25" s="1">
        <f t="shared" si="5"/>
        <v>0</v>
      </c>
      <c r="O25" t="str">
        <f t="shared" si="2"/>
        <v/>
      </c>
    </row>
    <row r="26" spans="1:15">
      <c r="A26" s="7">
        <v>43738</v>
      </c>
      <c r="B26" t="s">
        <v>101</v>
      </c>
      <c r="C26" s="47" t="s">
        <v>13</v>
      </c>
      <c r="D26" t="str">
        <f>Summary!$E$13</f>
        <v>Interest</v>
      </c>
      <c r="E26" s="82" t="str">
        <f>Summary!$H$30</f>
        <v>None</v>
      </c>
      <c r="G26" s="1">
        <v>0.08</v>
      </c>
      <c r="H26" s="2">
        <f t="shared" si="3"/>
        <v>1334.6200000000003</v>
      </c>
      <c r="L26" s="1">
        <f t="shared" si="4"/>
        <v>0.08</v>
      </c>
      <c r="M26" s="1">
        <f t="shared" si="5"/>
        <v>0</v>
      </c>
      <c r="O26" t="str">
        <f t="shared" si="2"/>
        <v/>
      </c>
    </row>
    <row r="27" spans="1:15">
      <c r="A27" s="7">
        <v>43739</v>
      </c>
      <c r="B27" t="s">
        <v>102</v>
      </c>
      <c r="C27" t="s">
        <v>103</v>
      </c>
      <c r="D27" t="str">
        <f>Summary!$E$19</f>
        <v>Merchandise</v>
      </c>
      <c r="E27" s="82" t="str">
        <f>Summary!$H$30</f>
        <v>None</v>
      </c>
      <c r="G27" s="1">
        <v>75</v>
      </c>
      <c r="H27" s="2">
        <f t="shared" si="3"/>
        <v>1409.6200000000003</v>
      </c>
      <c r="L27" s="1">
        <f t="shared" si="4"/>
        <v>75</v>
      </c>
      <c r="M27" s="1">
        <f t="shared" si="5"/>
        <v>0</v>
      </c>
      <c r="O27" t="str">
        <f t="shared" si="2"/>
        <v/>
      </c>
    </row>
    <row r="28" spans="1:15">
      <c r="A28" s="7">
        <v>43740</v>
      </c>
      <c r="B28" t="s">
        <v>104</v>
      </c>
      <c r="C28" t="s">
        <v>105</v>
      </c>
      <c r="D28" t="str">
        <f>Summary!$E$19</f>
        <v>Merchandise</v>
      </c>
      <c r="E28" s="82" t="str">
        <f>Summary!$H$30</f>
        <v>None</v>
      </c>
      <c r="G28" s="1">
        <v>75</v>
      </c>
      <c r="H28" s="2">
        <f t="shared" si="3"/>
        <v>1484.6200000000003</v>
      </c>
      <c r="L28" s="1">
        <f t="shared" si="4"/>
        <v>75</v>
      </c>
      <c r="M28" s="1">
        <f t="shared" si="5"/>
        <v>0</v>
      </c>
      <c r="O28" t="str">
        <f t="shared" si="2"/>
        <v/>
      </c>
    </row>
    <row r="29" spans="1:15">
      <c r="A29" s="7">
        <v>43740</v>
      </c>
      <c r="B29" t="s">
        <v>106</v>
      </c>
      <c r="C29" t="s">
        <v>107</v>
      </c>
      <c r="D29" t="str">
        <f>Summary!$E$19</f>
        <v>Merchandise</v>
      </c>
      <c r="E29" s="82" t="str">
        <f>Summary!$H$30</f>
        <v>None</v>
      </c>
      <c r="G29" s="1">
        <v>100</v>
      </c>
      <c r="H29" s="2">
        <f t="shared" si="3"/>
        <v>1584.6200000000003</v>
      </c>
      <c r="L29" s="1">
        <f t="shared" si="4"/>
        <v>100</v>
      </c>
      <c r="M29" s="1">
        <f t="shared" si="5"/>
        <v>0</v>
      </c>
      <c r="O29" t="str">
        <f t="shared" si="2"/>
        <v/>
      </c>
    </row>
    <row r="30" spans="1:15">
      <c r="A30" s="7">
        <v>43740</v>
      </c>
      <c r="B30" t="s">
        <v>108</v>
      </c>
      <c r="C30" t="s">
        <v>109</v>
      </c>
      <c r="D30" t="str">
        <f>Summary!$E$17</f>
        <v>Membership Fee</v>
      </c>
      <c r="E30" s="82" t="str">
        <f>Summary!$H$14</f>
        <v>Season</v>
      </c>
      <c r="G30" s="1">
        <v>55</v>
      </c>
      <c r="H30" s="2">
        <f t="shared" si="3"/>
        <v>1639.6200000000003</v>
      </c>
      <c r="L30" s="1">
        <f t="shared" si="4"/>
        <v>55</v>
      </c>
      <c r="M30" s="1">
        <f t="shared" si="5"/>
        <v>0</v>
      </c>
      <c r="O30" t="str">
        <f t="shared" si="2"/>
        <v/>
      </c>
    </row>
    <row r="31" spans="1:15">
      <c r="A31" s="7">
        <v>43741</v>
      </c>
      <c r="B31" t="s">
        <v>110</v>
      </c>
      <c r="C31" t="s">
        <v>111</v>
      </c>
      <c r="D31" t="str">
        <f>Summary!$E$17</f>
        <v>Membership Fee</v>
      </c>
      <c r="E31" s="82" t="str">
        <f>Summary!$H$14</f>
        <v>Season</v>
      </c>
      <c r="G31" s="1">
        <v>55</v>
      </c>
      <c r="H31" s="2">
        <f t="shared" si="3"/>
        <v>1694.6200000000003</v>
      </c>
      <c r="L31" s="1">
        <f t="shared" si="4"/>
        <v>55</v>
      </c>
      <c r="M31" s="1">
        <f t="shared" si="5"/>
        <v>0</v>
      </c>
      <c r="O31" t="str">
        <f t="shared" si="2"/>
        <v/>
      </c>
    </row>
    <row r="32" spans="1:15">
      <c r="A32" s="7">
        <v>43745</v>
      </c>
      <c r="B32" t="s">
        <v>112</v>
      </c>
      <c r="C32" t="s">
        <v>113</v>
      </c>
      <c r="D32" t="str">
        <f>Summary!$E$17</f>
        <v>Membership Fee</v>
      </c>
      <c r="E32" s="82" t="str">
        <f>Summary!$H$14</f>
        <v>Season</v>
      </c>
      <c r="G32" s="1">
        <v>55</v>
      </c>
      <c r="H32" s="2">
        <f t="shared" si="3"/>
        <v>1749.6200000000003</v>
      </c>
      <c r="L32" s="1">
        <f t="shared" si="4"/>
        <v>55</v>
      </c>
      <c r="M32" s="1">
        <f t="shared" si="5"/>
        <v>0</v>
      </c>
      <c r="O32" t="str">
        <f t="shared" si="2"/>
        <v/>
      </c>
    </row>
    <row r="33" spans="1:15">
      <c r="A33" s="7">
        <v>43746</v>
      </c>
      <c r="B33" t="s">
        <v>114</v>
      </c>
      <c r="C33" t="s">
        <v>115</v>
      </c>
      <c r="D33" t="str">
        <f>Summary!$E$20</f>
        <v>Transfer</v>
      </c>
      <c r="E33" s="82" t="str">
        <f>Summary!$H$30</f>
        <v>None</v>
      </c>
      <c r="G33" s="1">
        <v>2000</v>
      </c>
      <c r="H33" s="2">
        <f t="shared" si="3"/>
        <v>3749.6200000000003</v>
      </c>
      <c r="L33" s="1">
        <f t="shared" ref="L33:L37" si="6">IF(G33&gt; 0, G33, 0)</f>
        <v>2000</v>
      </c>
      <c r="M33" s="1">
        <f t="shared" ref="M33:M37" si="7">IF(G33&lt;0, G33, 0)</f>
        <v>0</v>
      </c>
      <c r="O33" t="str">
        <f t="shared" si="2"/>
        <v/>
      </c>
    </row>
    <row r="34" spans="1:15">
      <c r="A34" s="7">
        <v>43749</v>
      </c>
      <c r="B34" t="s">
        <v>116</v>
      </c>
      <c r="C34" t="s">
        <v>117</v>
      </c>
      <c r="D34" t="str">
        <f>Summary!$E$19</f>
        <v>Merchandise</v>
      </c>
      <c r="E34" s="82" t="str">
        <f>Summary!$H$30</f>
        <v>None</v>
      </c>
      <c r="G34" s="1">
        <v>35</v>
      </c>
      <c r="H34" s="2">
        <f t="shared" si="3"/>
        <v>3784.6200000000003</v>
      </c>
      <c r="L34" s="1">
        <f t="shared" si="6"/>
        <v>35</v>
      </c>
      <c r="M34" s="1">
        <f t="shared" si="7"/>
        <v>0</v>
      </c>
      <c r="O34" t="str">
        <f t="shared" si="2"/>
        <v/>
      </c>
    </row>
    <row r="35" spans="1:15">
      <c r="A35" s="7">
        <v>43752</v>
      </c>
      <c r="B35" t="s">
        <v>118</v>
      </c>
      <c r="C35" t="s">
        <v>119</v>
      </c>
      <c r="D35" t="str">
        <f>Summary!$E$19</f>
        <v>Merchandise</v>
      </c>
      <c r="E35" s="82" t="str">
        <f>Summary!$H$30</f>
        <v>None</v>
      </c>
      <c r="G35" s="1">
        <v>35</v>
      </c>
      <c r="H35" s="2">
        <f t="shared" si="3"/>
        <v>3819.6200000000003</v>
      </c>
      <c r="L35" s="1">
        <f t="shared" si="6"/>
        <v>35</v>
      </c>
      <c r="M35" s="1">
        <f t="shared" si="7"/>
        <v>0</v>
      </c>
      <c r="O35" t="str">
        <f t="shared" si="2"/>
        <v/>
      </c>
    </row>
    <row r="36" spans="1:15">
      <c r="A36" s="7">
        <v>43753</v>
      </c>
      <c r="B36" t="s">
        <v>120</v>
      </c>
      <c r="C36" t="s">
        <v>121</v>
      </c>
      <c r="D36" t="str">
        <f>Summary!$E$19</f>
        <v>Merchandise</v>
      </c>
      <c r="E36" s="82" t="str">
        <f>Summary!$H$30</f>
        <v>None</v>
      </c>
      <c r="G36" s="1">
        <v>65</v>
      </c>
      <c r="H36" s="2">
        <f t="shared" si="3"/>
        <v>3884.6200000000003</v>
      </c>
      <c r="L36" s="1">
        <f t="shared" si="6"/>
        <v>65</v>
      </c>
      <c r="M36" s="1">
        <f t="shared" si="7"/>
        <v>0</v>
      </c>
      <c r="O36" t="str">
        <f t="shared" si="2"/>
        <v/>
      </c>
    </row>
    <row r="37" spans="1:15">
      <c r="A37" s="7">
        <v>43753</v>
      </c>
      <c r="B37" t="s">
        <v>122</v>
      </c>
      <c r="C37" t="s">
        <v>123</v>
      </c>
      <c r="D37" t="str">
        <f>Summary!$E$19</f>
        <v>Merchandise</v>
      </c>
      <c r="E37" s="82" t="str">
        <f>Summary!$H$30</f>
        <v>None</v>
      </c>
      <c r="G37" s="1">
        <v>35</v>
      </c>
      <c r="H37" s="2">
        <f t="shared" si="3"/>
        <v>3919.6200000000003</v>
      </c>
      <c r="L37" s="1">
        <f t="shared" si="6"/>
        <v>35</v>
      </c>
      <c r="M37" s="1">
        <f t="shared" si="7"/>
        <v>0</v>
      </c>
      <c r="O37" t="str">
        <f t="shared" si="2"/>
        <v/>
      </c>
    </row>
    <row r="38" spans="1:15">
      <c r="A38" s="7">
        <v>43753</v>
      </c>
      <c r="B38" t="s">
        <v>124</v>
      </c>
      <c r="C38" t="s">
        <v>125</v>
      </c>
      <c r="D38" t="str">
        <f>Summary!$E$19</f>
        <v>Merchandise</v>
      </c>
      <c r="E38" s="82" t="str">
        <f>Summary!$H$30</f>
        <v>None</v>
      </c>
      <c r="G38" s="1">
        <v>-2281.02</v>
      </c>
      <c r="H38" s="2">
        <f t="shared" si="3"/>
        <v>1638.6000000000004</v>
      </c>
      <c r="L38" s="1">
        <f t="shared" ref="L38:L44" si="8">IF(G38&gt; 0, G38, 0)</f>
        <v>0</v>
      </c>
      <c r="M38" s="1">
        <f t="shared" ref="M38:M44" si="9">IF(G38&lt;0, G38, 0)</f>
        <v>-2281.02</v>
      </c>
      <c r="O38" t="str">
        <f t="shared" si="2"/>
        <v/>
      </c>
    </row>
    <row r="39" spans="1:15">
      <c r="A39" s="7">
        <v>43753</v>
      </c>
      <c r="B39" t="s">
        <v>126</v>
      </c>
      <c r="C39" t="s">
        <v>127</v>
      </c>
      <c r="D39" t="str">
        <f>Summary!$E$14</f>
        <v>Raffle</v>
      </c>
      <c r="E39" s="52" t="str">
        <f>Summary!$H$14</f>
        <v>Season</v>
      </c>
      <c r="G39" s="1">
        <v>-141.96</v>
      </c>
      <c r="H39" s="2">
        <f t="shared" si="3"/>
        <v>1496.6400000000003</v>
      </c>
      <c r="L39" s="1">
        <f t="shared" si="8"/>
        <v>0</v>
      </c>
      <c r="M39" s="1">
        <f t="shared" si="9"/>
        <v>-141.96</v>
      </c>
      <c r="O39" t="str">
        <f t="shared" si="2"/>
        <v/>
      </c>
    </row>
    <row r="40" spans="1:15">
      <c r="A40" s="7">
        <v>43753</v>
      </c>
      <c r="B40" t="s">
        <v>128</v>
      </c>
      <c r="C40" t="s">
        <v>129</v>
      </c>
      <c r="D40" t="str">
        <f>Summary!$E$17</f>
        <v>Membership Fee</v>
      </c>
      <c r="E40" s="52" t="str">
        <f>Summary!$H$14</f>
        <v>Season</v>
      </c>
      <c r="G40" s="1">
        <v>-55</v>
      </c>
      <c r="H40" s="2">
        <f t="shared" si="3"/>
        <v>1441.6400000000003</v>
      </c>
      <c r="L40" s="1">
        <f t="shared" si="8"/>
        <v>0</v>
      </c>
      <c r="M40" s="1">
        <f t="shared" si="9"/>
        <v>-55</v>
      </c>
      <c r="O40" t="str">
        <f t="shared" si="2"/>
        <v/>
      </c>
    </row>
    <row r="41" spans="1:15">
      <c r="A41" s="7">
        <v>43753</v>
      </c>
      <c r="B41" t="s">
        <v>130</v>
      </c>
      <c r="C41" t="s">
        <v>131</v>
      </c>
      <c r="D41" t="str">
        <f>Summary!$E$22</f>
        <v>Social</v>
      </c>
      <c r="E41" s="82" t="str">
        <f>Summary!$H$30</f>
        <v>None</v>
      </c>
      <c r="G41" s="1">
        <v>-44.91</v>
      </c>
      <c r="H41" s="2">
        <f t="shared" si="3"/>
        <v>1396.7300000000002</v>
      </c>
      <c r="L41" s="1">
        <f t="shared" si="8"/>
        <v>0</v>
      </c>
      <c r="M41" s="1">
        <f t="shared" si="9"/>
        <v>-44.91</v>
      </c>
      <c r="O41" t="str">
        <f t="shared" si="2"/>
        <v/>
      </c>
    </row>
    <row r="42" spans="1:15">
      <c r="A42" s="7">
        <v>43754</v>
      </c>
      <c r="B42" t="s">
        <v>132</v>
      </c>
      <c r="C42" t="s">
        <v>133</v>
      </c>
      <c r="D42" t="str">
        <f>Summary!$E$19</f>
        <v>Merchandise</v>
      </c>
      <c r="E42" s="82" t="str">
        <f>Summary!$H$30</f>
        <v>None</v>
      </c>
      <c r="G42" s="1">
        <v>65</v>
      </c>
      <c r="H42" s="2">
        <f t="shared" si="3"/>
        <v>1461.7300000000002</v>
      </c>
      <c r="L42" s="1">
        <f t="shared" si="8"/>
        <v>65</v>
      </c>
      <c r="M42" s="1">
        <f t="shared" si="9"/>
        <v>0</v>
      </c>
      <c r="O42" t="str">
        <f t="shared" si="2"/>
        <v/>
      </c>
    </row>
    <row r="43" spans="1:15">
      <c r="A43" s="7">
        <v>43755</v>
      </c>
      <c r="B43" t="s">
        <v>134</v>
      </c>
      <c r="C43" t="s">
        <v>135</v>
      </c>
      <c r="D43" t="str">
        <f>Summary!$E$19</f>
        <v>Merchandise</v>
      </c>
      <c r="E43" s="82" t="str">
        <f>Summary!$H$30</f>
        <v>None</v>
      </c>
      <c r="G43" s="1">
        <v>100</v>
      </c>
      <c r="H43" s="2">
        <f>H42+G43</f>
        <v>1561.7300000000002</v>
      </c>
      <c r="L43" s="1">
        <f>IF(G43&gt; 0, G43, 0)</f>
        <v>100</v>
      </c>
      <c r="M43" s="1">
        <f>IF(G43&lt;0, G43, 0)</f>
        <v>0</v>
      </c>
      <c r="O43" t="str">
        <f>IF(E43="End of Season Dinner",C43,"")</f>
        <v/>
      </c>
    </row>
    <row r="44" spans="1:15">
      <c r="A44" s="7">
        <v>43755</v>
      </c>
      <c r="B44" t="s">
        <v>136</v>
      </c>
      <c r="C44" t="s">
        <v>137</v>
      </c>
      <c r="D44" t="str">
        <f>Summary!$E$19</f>
        <v>Merchandise</v>
      </c>
      <c r="E44" s="82" t="str">
        <f>Summary!$H$30</f>
        <v>None</v>
      </c>
      <c r="G44" s="1">
        <v>50</v>
      </c>
      <c r="H44" s="2">
        <f t="shared" si="3"/>
        <v>1611.7300000000002</v>
      </c>
      <c r="L44" s="1">
        <f t="shared" si="8"/>
        <v>50</v>
      </c>
      <c r="M44" s="1">
        <f t="shared" si="9"/>
        <v>0</v>
      </c>
      <c r="O44" t="str">
        <f t="shared" si="2"/>
        <v/>
      </c>
    </row>
    <row r="45" spans="1:15">
      <c r="A45" s="7">
        <v>43755</v>
      </c>
      <c r="B45" t="s">
        <v>138</v>
      </c>
      <c r="C45" t="s">
        <v>139</v>
      </c>
      <c r="D45" t="str">
        <f>Summary!$E$19</f>
        <v>Merchandise</v>
      </c>
      <c r="E45" s="82" t="str">
        <f>Summary!$H$30</f>
        <v>None</v>
      </c>
      <c r="G45" s="1">
        <v>50</v>
      </c>
      <c r="H45" s="2">
        <f t="shared" ref="H45:H63" si="10">H44+G45</f>
        <v>1661.7300000000002</v>
      </c>
      <c r="L45" s="1">
        <f t="shared" ref="L45:L54" si="11">IF(G45&gt; 0, G45, 0)</f>
        <v>50</v>
      </c>
      <c r="M45" s="1">
        <f t="shared" ref="M45:M54" si="12">IF(G45&lt;0, G45, 0)</f>
        <v>0</v>
      </c>
      <c r="O45" t="str">
        <f t="shared" si="2"/>
        <v/>
      </c>
    </row>
    <row r="46" spans="1:15">
      <c r="A46" s="7">
        <v>43755</v>
      </c>
      <c r="B46" t="s">
        <v>140</v>
      </c>
      <c r="C46" t="s">
        <v>141</v>
      </c>
      <c r="D46" t="str">
        <f>Summary!$E$19</f>
        <v>Merchandise</v>
      </c>
      <c r="E46" s="82" t="str">
        <f>Summary!$H$30</f>
        <v>None</v>
      </c>
      <c r="G46" s="1">
        <v>50</v>
      </c>
      <c r="H46" s="2">
        <f t="shared" si="10"/>
        <v>1711.7300000000002</v>
      </c>
      <c r="L46" s="1">
        <f t="shared" si="11"/>
        <v>50</v>
      </c>
      <c r="M46" s="1">
        <f t="shared" si="12"/>
        <v>0</v>
      </c>
      <c r="O46" t="str">
        <f t="shared" si="2"/>
        <v/>
      </c>
    </row>
    <row r="47" spans="1:15">
      <c r="A47" s="7">
        <v>43756</v>
      </c>
      <c r="B47" t="s">
        <v>142</v>
      </c>
      <c r="C47" t="s">
        <v>143</v>
      </c>
      <c r="D47" t="str">
        <f>Summary!$E$19</f>
        <v>Merchandise</v>
      </c>
      <c r="E47" s="82" t="str">
        <f>Summary!$H$30</f>
        <v>None</v>
      </c>
      <c r="G47" s="1">
        <v>15</v>
      </c>
      <c r="H47" s="2">
        <f t="shared" si="10"/>
        <v>1726.7300000000002</v>
      </c>
      <c r="L47" s="1">
        <f t="shared" si="11"/>
        <v>15</v>
      </c>
      <c r="M47" s="1">
        <f t="shared" si="12"/>
        <v>0</v>
      </c>
      <c r="O47" t="str">
        <f t="shared" si="2"/>
        <v/>
      </c>
    </row>
    <row r="48" spans="1:15">
      <c r="A48" s="7">
        <v>43756</v>
      </c>
      <c r="B48" t="s">
        <v>144</v>
      </c>
      <c r="C48" t="s">
        <v>145</v>
      </c>
      <c r="D48" t="str">
        <f>Summary!$E$19</f>
        <v>Merchandise</v>
      </c>
      <c r="E48" s="82" t="str">
        <f>Summary!$H$30</f>
        <v>None</v>
      </c>
      <c r="G48" s="1">
        <v>100</v>
      </c>
      <c r="H48" s="2">
        <f t="shared" si="10"/>
        <v>1826.7300000000002</v>
      </c>
      <c r="L48" s="1">
        <f t="shared" si="11"/>
        <v>100</v>
      </c>
      <c r="M48" s="1">
        <f t="shared" si="12"/>
        <v>0</v>
      </c>
      <c r="O48" t="str">
        <f t="shared" si="2"/>
        <v/>
      </c>
    </row>
    <row r="49" spans="1:15">
      <c r="A49" s="7">
        <v>43756</v>
      </c>
      <c r="B49" t="s">
        <v>146</v>
      </c>
      <c r="C49" t="s">
        <v>147</v>
      </c>
      <c r="D49" t="str">
        <f>Summary!$E$19</f>
        <v>Merchandise</v>
      </c>
      <c r="E49" s="82" t="str">
        <f>Summary!$H$30</f>
        <v>None</v>
      </c>
      <c r="G49" s="1">
        <v>-35</v>
      </c>
      <c r="H49" s="2">
        <f t="shared" si="10"/>
        <v>1791.7300000000002</v>
      </c>
      <c r="L49" s="1">
        <f t="shared" si="11"/>
        <v>0</v>
      </c>
      <c r="M49" s="1">
        <f t="shared" si="12"/>
        <v>-35</v>
      </c>
      <c r="O49" t="str">
        <f t="shared" si="2"/>
        <v/>
      </c>
    </row>
    <row r="50" spans="1:15">
      <c r="A50" s="7">
        <v>43757</v>
      </c>
      <c r="B50" t="s">
        <v>148</v>
      </c>
      <c r="C50" t="s">
        <v>149</v>
      </c>
      <c r="D50" t="str">
        <f>Summary!$E$22</f>
        <v>Social</v>
      </c>
      <c r="E50" s="52" t="str">
        <f>Summary!$H$19</f>
        <v>October post-match social</v>
      </c>
      <c r="G50" s="1">
        <v>-205</v>
      </c>
      <c r="H50" s="2">
        <f t="shared" si="10"/>
        <v>1586.7300000000002</v>
      </c>
      <c r="L50" s="1">
        <f t="shared" si="11"/>
        <v>0</v>
      </c>
      <c r="M50" s="1">
        <f t="shared" si="12"/>
        <v>-205</v>
      </c>
      <c r="O50" t="str">
        <f t="shared" si="2"/>
        <v/>
      </c>
    </row>
    <row r="51" spans="1:15" s="56" customFormat="1">
      <c r="A51" s="55">
        <v>43759</v>
      </c>
      <c r="B51" t="s">
        <v>150</v>
      </c>
      <c r="C51" s="56" t="s">
        <v>151</v>
      </c>
      <c r="D51" t="str">
        <f>Summary!$E$19</f>
        <v>Merchandise</v>
      </c>
      <c r="E51" s="82" t="str">
        <f>Summary!$H$30</f>
        <v>None</v>
      </c>
      <c r="G51" s="1">
        <v>35</v>
      </c>
      <c r="H51" s="2">
        <f t="shared" si="10"/>
        <v>1621.7300000000002</v>
      </c>
      <c r="J51" s="57"/>
      <c r="L51" s="1">
        <f t="shared" si="11"/>
        <v>35</v>
      </c>
      <c r="M51" s="1">
        <f t="shared" si="12"/>
        <v>0</v>
      </c>
      <c r="O51" t="str">
        <f t="shared" si="2"/>
        <v/>
      </c>
    </row>
    <row r="52" spans="1:15">
      <c r="A52" s="7">
        <v>43760</v>
      </c>
      <c r="B52" t="s">
        <v>152</v>
      </c>
      <c r="C52" t="s">
        <v>153</v>
      </c>
      <c r="D52" s="56" t="str">
        <f>Summary!$E$23</f>
        <v>Sponsorship</v>
      </c>
      <c r="E52" s="52" t="str">
        <f>Summary!$H$14</f>
        <v>Season</v>
      </c>
      <c r="G52" s="1">
        <v>1000</v>
      </c>
      <c r="H52" s="2">
        <f t="shared" si="10"/>
        <v>2621.7300000000005</v>
      </c>
      <c r="L52" s="1">
        <f t="shared" si="11"/>
        <v>1000</v>
      </c>
      <c r="M52" s="1">
        <f t="shared" si="12"/>
        <v>0</v>
      </c>
      <c r="O52" t="str">
        <f t="shared" si="2"/>
        <v/>
      </c>
    </row>
    <row r="53" spans="1:15">
      <c r="A53" s="7">
        <v>43767</v>
      </c>
      <c r="B53" t="s">
        <v>154</v>
      </c>
      <c r="C53" t="s">
        <v>155</v>
      </c>
      <c r="D53" t="str">
        <f>Summary!$E$19</f>
        <v>Merchandise</v>
      </c>
      <c r="E53" s="82" t="str">
        <f>Summary!$H$30</f>
        <v>None</v>
      </c>
      <c r="G53" s="1">
        <v>175</v>
      </c>
      <c r="H53" s="2">
        <f t="shared" si="10"/>
        <v>2796.7300000000005</v>
      </c>
      <c r="L53" s="1">
        <f t="shared" si="11"/>
        <v>175</v>
      </c>
      <c r="M53" s="1">
        <f t="shared" si="12"/>
        <v>0</v>
      </c>
      <c r="O53" t="str">
        <f t="shared" si="2"/>
        <v/>
      </c>
    </row>
    <row r="54" spans="1:15">
      <c r="A54" s="7">
        <v>43769</v>
      </c>
      <c r="B54" t="s">
        <v>156</v>
      </c>
      <c r="C54" s="47" t="s">
        <v>13</v>
      </c>
      <c r="D54" t="str">
        <f>Summary!$E$13</f>
        <v>Interest</v>
      </c>
      <c r="E54" s="82" t="str">
        <f>Summary!$H$30</f>
        <v>None</v>
      </c>
      <c r="G54" s="1">
        <v>0.17</v>
      </c>
      <c r="H54" s="2">
        <f t="shared" si="10"/>
        <v>2796.9000000000005</v>
      </c>
      <c r="L54" s="1">
        <f t="shared" si="11"/>
        <v>0.17</v>
      </c>
      <c r="M54" s="1">
        <f t="shared" si="12"/>
        <v>0</v>
      </c>
      <c r="O54" t="str">
        <f t="shared" si="2"/>
        <v/>
      </c>
    </row>
    <row r="55" spans="1:15">
      <c r="A55" s="7">
        <v>43776</v>
      </c>
      <c r="B55" t="s">
        <v>157</v>
      </c>
      <c r="C55" t="s">
        <v>158</v>
      </c>
      <c r="D55" t="str">
        <f>Summary!$E$19</f>
        <v>Merchandise</v>
      </c>
      <c r="E55" s="82" t="str">
        <f>Summary!$H$30</f>
        <v>None</v>
      </c>
      <c r="G55" s="1">
        <v>50</v>
      </c>
      <c r="H55" s="2">
        <f t="shared" si="10"/>
        <v>2846.9000000000005</v>
      </c>
      <c r="L55" s="1">
        <f t="shared" ref="L55" si="13">IF(G55&gt; 0, G55, 0)</f>
        <v>50</v>
      </c>
      <c r="M55" s="1">
        <f t="shared" ref="M55" si="14">IF(G55&lt;0, G55, 0)</f>
        <v>0</v>
      </c>
      <c r="O55" t="str">
        <f t="shared" si="2"/>
        <v/>
      </c>
    </row>
    <row r="56" spans="1:15">
      <c r="A56" s="7">
        <v>43787</v>
      </c>
      <c r="B56" t="s">
        <v>159</v>
      </c>
      <c r="C56" t="s">
        <v>160</v>
      </c>
      <c r="D56" t="str">
        <f>Summary!$E$17</f>
        <v>Membership Fee</v>
      </c>
      <c r="E56" s="52" t="str">
        <f>Summary!$H$14</f>
        <v>Season</v>
      </c>
      <c r="G56" s="1">
        <v>55</v>
      </c>
      <c r="H56" s="2">
        <f t="shared" si="10"/>
        <v>2901.9000000000005</v>
      </c>
      <c r="L56" s="1">
        <f t="shared" ref="L56" si="15">IF(G56&gt; 0, G56, 0)</f>
        <v>55</v>
      </c>
      <c r="M56" s="1">
        <f t="shared" ref="M56" si="16">IF(G56&lt;0, G56, 0)</f>
        <v>0</v>
      </c>
      <c r="O56" t="str">
        <f t="shared" si="2"/>
        <v/>
      </c>
    </row>
    <row r="57" spans="1:15">
      <c r="A57" s="7">
        <v>43789</v>
      </c>
      <c r="B57" t="s">
        <v>161</v>
      </c>
      <c r="C57" t="s">
        <v>162</v>
      </c>
      <c r="D57" t="str">
        <f>Summary!$E$19</f>
        <v>Merchandise</v>
      </c>
      <c r="E57" s="82" t="str">
        <f>Summary!$H$30</f>
        <v>None</v>
      </c>
      <c r="G57" s="1">
        <v>35</v>
      </c>
      <c r="H57" s="2">
        <f t="shared" si="10"/>
        <v>2936.9000000000005</v>
      </c>
      <c r="L57" s="1">
        <f t="shared" ref="L57:L60" si="17">IF(G57&gt; 0, G57, 0)</f>
        <v>35</v>
      </c>
      <c r="M57" s="1">
        <f t="shared" ref="M57:M60" si="18">IF(G57&lt;0, G57, 0)</f>
        <v>0</v>
      </c>
      <c r="O57" t="str">
        <f t="shared" si="2"/>
        <v/>
      </c>
    </row>
    <row r="58" spans="1:15">
      <c r="A58" s="7">
        <v>43789</v>
      </c>
      <c r="B58" t="s">
        <v>163</v>
      </c>
      <c r="C58" t="s">
        <v>164</v>
      </c>
      <c r="D58" t="str">
        <f>Summary!$E$19</f>
        <v>Merchandise</v>
      </c>
      <c r="E58" s="82" t="str">
        <f>Summary!$H$30</f>
        <v>None</v>
      </c>
      <c r="G58" s="1">
        <v>30</v>
      </c>
      <c r="H58" s="2">
        <f t="shared" si="10"/>
        <v>2966.9000000000005</v>
      </c>
      <c r="L58" s="1">
        <f t="shared" si="17"/>
        <v>30</v>
      </c>
      <c r="M58" s="1">
        <f t="shared" si="18"/>
        <v>0</v>
      </c>
      <c r="O58" t="str">
        <f t="shared" si="2"/>
        <v/>
      </c>
    </row>
    <row r="59" spans="1:15">
      <c r="A59" s="7">
        <v>43790</v>
      </c>
      <c r="B59" t="s">
        <v>165</v>
      </c>
      <c r="C59" t="s">
        <v>155</v>
      </c>
      <c r="D59" t="str">
        <f>Summary!$E$19</f>
        <v>Merchandise</v>
      </c>
      <c r="E59" s="82" t="str">
        <f>Summary!$H$30</f>
        <v>None</v>
      </c>
      <c r="G59" s="1">
        <v>105</v>
      </c>
      <c r="H59" s="2">
        <f t="shared" si="10"/>
        <v>3071.9000000000005</v>
      </c>
      <c r="L59" s="1">
        <f t="shared" si="17"/>
        <v>105</v>
      </c>
      <c r="M59" s="1">
        <f t="shared" si="18"/>
        <v>0</v>
      </c>
      <c r="O59" t="str">
        <f t="shared" si="2"/>
        <v/>
      </c>
    </row>
    <row r="60" spans="1:15">
      <c r="A60" s="7">
        <v>43794</v>
      </c>
      <c r="B60" t="s">
        <v>166</v>
      </c>
      <c r="C60" t="s">
        <v>167</v>
      </c>
      <c r="D60" t="str">
        <f>Summary!$E$22</f>
        <v>Social</v>
      </c>
      <c r="E60" s="87" t="str">
        <f>Summary!$H$18</f>
        <v>Life members' lunch</v>
      </c>
      <c r="G60" s="1">
        <v>-875</v>
      </c>
      <c r="H60" s="2">
        <f t="shared" si="10"/>
        <v>2196.9000000000005</v>
      </c>
      <c r="L60" s="1">
        <f t="shared" si="17"/>
        <v>0</v>
      </c>
      <c r="M60" s="1">
        <f t="shared" si="18"/>
        <v>-875</v>
      </c>
      <c r="O60" t="str">
        <f t="shared" si="2"/>
        <v/>
      </c>
    </row>
    <row r="61" spans="1:15">
      <c r="A61" s="7">
        <v>43794</v>
      </c>
      <c r="B61" t="s">
        <v>168</v>
      </c>
      <c r="C61" t="s">
        <v>125</v>
      </c>
      <c r="D61" t="str">
        <f>Summary!$E$19</f>
        <v>Merchandise</v>
      </c>
      <c r="E61" s="82" t="str">
        <f>Summary!$H$30</f>
        <v>None</v>
      </c>
      <c r="G61" s="1">
        <v>-1009.69</v>
      </c>
      <c r="H61" s="2">
        <f t="shared" si="10"/>
        <v>1187.2100000000005</v>
      </c>
      <c r="L61" s="1">
        <f t="shared" ref="L61" si="19">IF(G61&gt; 0, G61, 0)</f>
        <v>0</v>
      </c>
      <c r="M61" s="1">
        <f t="shared" ref="M61" si="20">IF(G61&lt;0, G61, 0)</f>
        <v>-1009.69</v>
      </c>
      <c r="O61" t="str">
        <f t="shared" si="2"/>
        <v/>
      </c>
    </row>
    <row r="62" spans="1:15">
      <c r="A62" s="7">
        <v>43797</v>
      </c>
      <c r="B62" t="s">
        <v>169</v>
      </c>
      <c r="C62" t="s">
        <v>170</v>
      </c>
      <c r="D62" t="str">
        <f>Summary!$E$22</f>
        <v>Social</v>
      </c>
      <c r="E62" s="87" t="str">
        <f>Summary!$H$18</f>
        <v>Life members' lunch</v>
      </c>
      <c r="G62" s="1">
        <v>35</v>
      </c>
      <c r="H62" s="2">
        <f t="shared" si="10"/>
        <v>1222.2100000000005</v>
      </c>
      <c r="L62" s="1">
        <f t="shared" ref="L62" si="21">IF(G62&gt; 0, G62, 0)</f>
        <v>35</v>
      </c>
      <c r="M62" s="1">
        <f t="shared" ref="M62" si="22">IF(G62&lt;0, G62, 0)</f>
        <v>0</v>
      </c>
      <c r="O62" t="str">
        <f t="shared" si="2"/>
        <v/>
      </c>
    </row>
    <row r="63" spans="1:15">
      <c r="A63" s="7">
        <v>43799</v>
      </c>
      <c r="B63" t="s">
        <v>171</v>
      </c>
      <c r="C63" s="47" t="s">
        <v>13</v>
      </c>
      <c r="D63" t="str">
        <f>Summary!$E$13</f>
        <v>Interest</v>
      </c>
      <c r="E63" s="82" t="str">
        <f>Summary!$H$30</f>
        <v>None</v>
      </c>
      <c r="G63" s="1">
        <v>0.14000000000000001</v>
      </c>
      <c r="H63" s="2">
        <f t="shared" si="10"/>
        <v>1222.3500000000006</v>
      </c>
      <c r="L63" s="1">
        <f t="shared" ref="L63" si="23">IF(G63&gt; 0, G63, 0)</f>
        <v>0.14000000000000001</v>
      </c>
      <c r="M63" s="1">
        <f t="shared" ref="M63" si="24">IF(G63&lt;0, G63, 0)</f>
        <v>0</v>
      </c>
      <c r="O63" t="str">
        <f t="shared" si="2"/>
        <v/>
      </c>
    </row>
    <row r="64" spans="1:15">
      <c r="D64" s="56"/>
      <c r="E64" s="84"/>
      <c r="H64" s="2"/>
      <c r="O64" t="str">
        <f t="shared" si="2"/>
        <v/>
      </c>
    </row>
    <row r="65" spans="3:15">
      <c r="D65" s="56"/>
      <c r="E65" s="84"/>
      <c r="H65" s="2"/>
      <c r="O65" t="str">
        <f t="shared" si="2"/>
        <v/>
      </c>
    </row>
    <row r="66" spans="3:15">
      <c r="D66" s="56"/>
      <c r="E66" s="84"/>
      <c r="H66" s="2"/>
      <c r="O66" t="str">
        <f t="shared" ref="O66:O129" si="25">IF(E66="End of Season Dinner",C66,"")</f>
        <v/>
      </c>
    </row>
    <row r="67" spans="3:15">
      <c r="H67" s="2"/>
      <c r="O67" t="str">
        <f t="shared" si="25"/>
        <v/>
      </c>
    </row>
    <row r="68" spans="3:15">
      <c r="D68" s="56"/>
      <c r="E68" s="84"/>
      <c r="H68" s="2"/>
      <c r="O68" t="str">
        <f t="shared" si="25"/>
        <v/>
      </c>
    </row>
    <row r="69" spans="3:15">
      <c r="D69" s="56"/>
      <c r="E69" s="84"/>
      <c r="H69" s="2"/>
      <c r="O69" t="str">
        <f t="shared" si="25"/>
        <v/>
      </c>
    </row>
    <row r="70" spans="3:15">
      <c r="D70" s="56"/>
      <c r="E70" s="84"/>
      <c r="H70" s="2"/>
      <c r="O70" t="str">
        <f t="shared" si="25"/>
        <v/>
      </c>
    </row>
    <row r="71" spans="3:15">
      <c r="D71" s="56"/>
      <c r="E71" s="84"/>
      <c r="H71" s="2"/>
      <c r="O71" t="str">
        <f t="shared" si="25"/>
        <v/>
      </c>
    </row>
    <row r="72" spans="3:15">
      <c r="D72" s="56"/>
      <c r="E72" s="84"/>
      <c r="H72" s="2"/>
      <c r="O72" t="str">
        <f t="shared" si="25"/>
        <v/>
      </c>
    </row>
    <row r="73" spans="3:15">
      <c r="D73" s="56"/>
      <c r="E73" s="84"/>
      <c r="H73" s="2"/>
      <c r="O73" t="str">
        <f t="shared" si="25"/>
        <v/>
      </c>
    </row>
    <row r="74" spans="3:15">
      <c r="D74" s="56"/>
      <c r="E74" s="84"/>
      <c r="H74" s="2"/>
      <c r="O74" t="str">
        <f t="shared" si="25"/>
        <v/>
      </c>
    </row>
    <row r="75" spans="3:15">
      <c r="D75" s="56"/>
      <c r="E75" s="84"/>
      <c r="H75" s="2"/>
      <c r="O75" t="str">
        <f t="shared" si="25"/>
        <v/>
      </c>
    </row>
    <row r="76" spans="3:15">
      <c r="C76" s="56"/>
      <c r="D76" s="56"/>
      <c r="E76" s="84"/>
      <c r="H76" s="2"/>
      <c r="O76" t="str">
        <f t="shared" si="25"/>
        <v/>
      </c>
    </row>
    <row r="77" spans="3:15">
      <c r="D77" s="56"/>
      <c r="E77" s="84"/>
      <c r="H77" s="2"/>
      <c r="O77" t="str">
        <f t="shared" si="25"/>
        <v/>
      </c>
    </row>
    <row r="78" spans="3:15">
      <c r="D78" s="56"/>
      <c r="E78" s="84"/>
      <c r="H78" s="2"/>
      <c r="O78" t="str">
        <f t="shared" si="25"/>
        <v/>
      </c>
    </row>
    <row r="79" spans="3:15">
      <c r="D79" s="56"/>
      <c r="E79" s="84"/>
      <c r="H79" s="2"/>
      <c r="O79" t="str">
        <f t="shared" si="25"/>
        <v/>
      </c>
    </row>
    <row r="80" spans="3:15">
      <c r="D80" s="56"/>
      <c r="E80" s="84"/>
      <c r="H80" s="2"/>
      <c r="O80" t="str">
        <f t="shared" si="25"/>
        <v/>
      </c>
    </row>
    <row r="81" spans="1:15">
      <c r="H81" s="2"/>
      <c r="O81" t="str">
        <f t="shared" si="25"/>
        <v/>
      </c>
    </row>
    <row r="82" spans="1:15">
      <c r="D82" s="56"/>
      <c r="E82" s="84"/>
      <c r="H82" s="2"/>
      <c r="O82" t="str">
        <f t="shared" si="25"/>
        <v/>
      </c>
    </row>
    <row r="83" spans="1:15">
      <c r="D83" s="56"/>
      <c r="E83" s="84"/>
      <c r="H83" s="2"/>
      <c r="O83" t="str">
        <f t="shared" si="25"/>
        <v/>
      </c>
    </row>
    <row r="84" spans="1:15">
      <c r="D84" s="56"/>
      <c r="E84" s="84"/>
      <c r="H84" s="2"/>
      <c r="O84" t="str">
        <f t="shared" si="25"/>
        <v/>
      </c>
    </row>
    <row r="85" spans="1:15">
      <c r="D85" s="56"/>
      <c r="E85" s="84"/>
      <c r="H85" s="2"/>
      <c r="O85" t="str">
        <f t="shared" si="25"/>
        <v/>
      </c>
    </row>
    <row r="86" spans="1:15">
      <c r="D86" s="56"/>
      <c r="E86" s="84"/>
      <c r="H86" s="2"/>
      <c r="O86" t="str">
        <f t="shared" si="25"/>
        <v/>
      </c>
    </row>
    <row r="87" spans="1:15">
      <c r="A87" s="59"/>
      <c r="B87" s="60"/>
      <c r="C87" s="61"/>
      <c r="D87" s="60"/>
      <c r="E87" s="85"/>
      <c r="F87" s="60"/>
      <c r="H87" s="2"/>
      <c r="O87" t="str">
        <f t="shared" si="25"/>
        <v/>
      </c>
    </row>
    <row r="88" spans="1:15">
      <c r="A88" s="59"/>
      <c r="B88" s="60"/>
      <c r="C88" s="61"/>
      <c r="D88" s="60"/>
      <c r="E88" s="85"/>
      <c r="F88" s="60"/>
      <c r="H88" s="2"/>
      <c r="O88" t="str">
        <f t="shared" si="25"/>
        <v/>
      </c>
    </row>
    <row r="89" spans="1:15">
      <c r="H89" s="2"/>
      <c r="O89" t="str">
        <f t="shared" si="25"/>
        <v/>
      </c>
    </row>
    <row r="90" spans="1:15">
      <c r="D90" s="56"/>
      <c r="E90" s="84"/>
      <c r="H90" s="2"/>
      <c r="O90" t="str">
        <f t="shared" si="25"/>
        <v/>
      </c>
    </row>
    <row r="91" spans="1:15">
      <c r="D91" s="56"/>
      <c r="E91" s="84"/>
      <c r="H91" s="2"/>
      <c r="O91" t="str">
        <f t="shared" si="25"/>
        <v/>
      </c>
    </row>
    <row r="92" spans="1:15">
      <c r="D92" s="56"/>
      <c r="E92" s="84"/>
      <c r="H92" s="2"/>
      <c r="O92" t="str">
        <f t="shared" si="25"/>
        <v/>
      </c>
    </row>
    <row r="93" spans="1:15">
      <c r="D93" s="56"/>
      <c r="E93" s="84"/>
      <c r="H93" s="2"/>
      <c r="O93" t="str">
        <f t="shared" si="25"/>
        <v/>
      </c>
    </row>
    <row r="94" spans="1:15">
      <c r="D94" s="56"/>
      <c r="E94" s="84"/>
      <c r="H94" s="2"/>
      <c r="O94" t="str">
        <f t="shared" si="25"/>
        <v/>
      </c>
    </row>
    <row r="95" spans="1:15">
      <c r="D95" s="56"/>
      <c r="E95" s="84"/>
      <c r="H95" s="2"/>
      <c r="O95" t="str">
        <f t="shared" si="25"/>
        <v/>
      </c>
    </row>
    <row r="96" spans="1:15">
      <c r="D96" s="56"/>
      <c r="E96" s="84"/>
      <c r="H96" s="2"/>
      <c r="O96" t="str">
        <f t="shared" si="25"/>
        <v/>
      </c>
    </row>
    <row r="97" spans="4:15">
      <c r="D97" s="56"/>
      <c r="E97" s="84"/>
      <c r="H97" s="2"/>
      <c r="O97" t="str">
        <f t="shared" si="25"/>
        <v/>
      </c>
    </row>
    <row r="98" spans="4:15">
      <c r="D98" s="56"/>
      <c r="E98" s="84"/>
      <c r="H98" s="2"/>
      <c r="O98" t="str">
        <f t="shared" si="25"/>
        <v/>
      </c>
    </row>
    <row r="99" spans="4:15">
      <c r="D99" s="56"/>
      <c r="E99" s="84"/>
      <c r="H99" s="2"/>
      <c r="O99" t="str">
        <f t="shared" si="25"/>
        <v/>
      </c>
    </row>
    <row r="100" spans="4:15">
      <c r="D100" s="56"/>
      <c r="E100" s="84"/>
      <c r="H100" s="2"/>
      <c r="O100" t="str">
        <f t="shared" si="25"/>
        <v/>
      </c>
    </row>
    <row r="101" spans="4:15">
      <c r="D101" s="56"/>
      <c r="E101" s="84"/>
      <c r="H101" s="2"/>
      <c r="O101" t="str">
        <f t="shared" si="25"/>
        <v/>
      </c>
    </row>
    <row r="102" spans="4:15">
      <c r="H102" s="2"/>
      <c r="O102" t="str">
        <f t="shared" si="25"/>
        <v/>
      </c>
    </row>
    <row r="103" spans="4:15">
      <c r="D103" s="56"/>
      <c r="E103" s="84"/>
      <c r="H103" s="2"/>
      <c r="O103" t="str">
        <f t="shared" si="25"/>
        <v/>
      </c>
    </row>
    <row r="104" spans="4:15">
      <c r="D104" s="56"/>
      <c r="E104" s="84"/>
      <c r="H104" s="2"/>
      <c r="O104" t="str">
        <f t="shared" si="25"/>
        <v/>
      </c>
    </row>
    <row r="105" spans="4:15">
      <c r="D105" s="56"/>
      <c r="E105" s="84"/>
      <c r="H105" s="2"/>
      <c r="O105" t="str">
        <f t="shared" si="25"/>
        <v/>
      </c>
    </row>
    <row r="106" spans="4:15">
      <c r="H106" s="2"/>
      <c r="O106" t="str">
        <f t="shared" si="25"/>
        <v/>
      </c>
    </row>
    <row r="107" spans="4:15">
      <c r="D107" s="56"/>
      <c r="H107" s="2"/>
      <c r="O107" t="str">
        <f t="shared" si="25"/>
        <v/>
      </c>
    </row>
    <row r="108" spans="4:15">
      <c r="D108" s="56"/>
      <c r="E108" s="84"/>
      <c r="H108" s="2"/>
      <c r="O108" t="str">
        <f t="shared" si="25"/>
        <v/>
      </c>
    </row>
    <row r="109" spans="4:15">
      <c r="D109" s="56"/>
      <c r="E109" s="84"/>
      <c r="H109" s="2"/>
      <c r="O109" t="str">
        <f t="shared" si="25"/>
        <v/>
      </c>
    </row>
    <row r="110" spans="4:15">
      <c r="H110" s="2"/>
      <c r="O110" t="str">
        <f t="shared" si="25"/>
        <v/>
      </c>
    </row>
    <row r="111" spans="4:15">
      <c r="D111" s="56"/>
      <c r="E111" s="84"/>
      <c r="H111" s="2"/>
      <c r="O111" t="str">
        <f t="shared" si="25"/>
        <v/>
      </c>
    </row>
    <row r="112" spans="4:15">
      <c r="D112" s="56"/>
      <c r="E112" s="84"/>
      <c r="H112" s="2"/>
      <c r="O112" t="str">
        <f t="shared" si="25"/>
        <v/>
      </c>
    </row>
    <row r="113" spans="3:15">
      <c r="H113" s="2"/>
      <c r="O113" t="str">
        <f t="shared" si="25"/>
        <v/>
      </c>
    </row>
    <row r="114" spans="3:15">
      <c r="D114" s="56"/>
      <c r="E114" s="84"/>
      <c r="H114" s="2"/>
      <c r="O114" t="str">
        <f t="shared" si="25"/>
        <v/>
      </c>
    </row>
    <row r="115" spans="3:15">
      <c r="H115" s="2"/>
      <c r="O115" t="str">
        <f t="shared" si="25"/>
        <v/>
      </c>
    </row>
    <row r="116" spans="3:15">
      <c r="C116" s="47"/>
      <c r="H116" s="2"/>
      <c r="O116" t="str">
        <f t="shared" si="25"/>
        <v/>
      </c>
    </row>
    <row r="117" spans="3:15">
      <c r="H117" s="2"/>
      <c r="O117" t="str">
        <f t="shared" si="25"/>
        <v/>
      </c>
    </row>
    <row r="118" spans="3:15">
      <c r="H118" s="2"/>
      <c r="O118" t="str">
        <f t="shared" si="25"/>
        <v/>
      </c>
    </row>
    <row r="119" spans="3:15">
      <c r="D119" s="56"/>
      <c r="E119" s="84"/>
      <c r="H119" s="2"/>
      <c r="O119" t="str">
        <f t="shared" si="25"/>
        <v/>
      </c>
    </row>
    <row r="120" spans="3:15">
      <c r="D120" s="56"/>
      <c r="E120" s="84"/>
      <c r="H120" s="2"/>
      <c r="O120" t="str">
        <f t="shared" si="25"/>
        <v/>
      </c>
    </row>
    <row r="121" spans="3:15">
      <c r="E121" s="84"/>
      <c r="H121" s="2"/>
      <c r="O121" t="str">
        <f t="shared" si="25"/>
        <v/>
      </c>
    </row>
    <row r="122" spans="3:15">
      <c r="H122" s="2"/>
      <c r="O122" t="str">
        <f t="shared" si="25"/>
        <v/>
      </c>
    </row>
    <row r="123" spans="3:15">
      <c r="D123" s="56"/>
      <c r="E123" s="84"/>
      <c r="H123" s="2"/>
      <c r="O123" t="str">
        <f t="shared" si="25"/>
        <v/>
      </c>
    </row>
    <row r="124" spans="3:15">
      <c r="D124" s="56"/>
      <c r="E124" s="84"/>
      <c r="H124" s="2"/>
      <c r="O124" t="str">
        <f t="shared" si="25"/>
        <v/>
      </c>
    </row>
    <row r="125" spans="3:15">
      <c r="H125" s="2"/>
      <c r="O125" t="str">
        <f t="shared" si="25"/>
        <v/>
      </c>
    </row>
    <row r="126" spans="3:15">
      <c r="H126" s="2"/>
      <c r="O126" t="str">
        <f t="shared" si="25"/>
        <v/>
      </c>
    </row>
    <row r="127" spans="3:15">
      <c r="H127" s="2"/>
      <c r="O127" t="str">
        <f t="shared" si="25"/>
        <v/>
      </c>
    </row>
    <row r="128" spans="3:15">
      <c r="H128" s="2"/>
      <c r="O128" t="str">
        <f t="shared" si="25"/>
        <v/>
      </c>
    </row>
    <row r="129" spans="3:15">
      <c r="H129" s="2"/>
      <c r="O129" t="str">
        <f t="shared" si="25"/>
        <v/>
      </c>
    </row>
    <row r="130" spans="3:15">
      <c r="H130" s="2"/>
      <c r="O130" t="str">
        <f t="shared" ref="O130:O143" si="26">IF(E130="End of Season Dinner",C130,"")</f>
        <v/>
      </c>
    </row>
    <row r="131" spans="3:15">
      <c r="H131" s="2"/>
      <c r="O131" t="str">
        <f t="shared" si="26"/>
        <v/>
      </c>
    </row>
    <row r="132" spans="3:15">
      <c r="H132" s="2"/>
      <c r="O132" t="str">
        <f t="shared" si="26"/>
        <v/>
      </c>
    </row>
    <row r="133" spans="3:15">
      <c r="D133" s="56"/>
      <c r="E133" s="84"/>
      <c r="H133" s="2"/>
      <c r="O133" t="str">
        <f t="shared" si="26"/>
        <v/>
      </c>
    </row>
    <row r="134" spans="3:15">
      <c r="C134" s="5"/>
      <c r="H134" s="2"/>
      <c r="O134" t="str">
        <f t="shared" si="26"/>
        <v/>
      </c>
    </row>
    <row r="135" spans="3:15">
      <c r="H135" s="2"/>
      <c r="O135" t="str">
        <f t="shared" si="26"/>
        <v/>
      </c>
    </row>
    <row r="136" spans="3:15">
      <c r="C136" s="65"/>
      <c r="D136" s="65"/>
      <c r="E136" s="86"/>
      <c r="F136" s="65"/>
      <c r="H136" s="2"/>
      <c r="O136" t="str">
        <f t="shared" si="26"/>
        <v/>
      </c>
    </row>
    <row r="137" spans="3:15">
      <c r="C137" s="65"/>
      <c r="D137" s="65"/>
      <c r="E137" s="86"/>
      <c r="F137" s="65"/>
      <c r="H137" s="2"/>
      <c r="O137" t="str">
        <f t="shared" si="26"/>
        <v/>
      </c>
    </row>
    <row r="138" spans="3:15">
      <c r="H138" s="2"/>
      <c r="O138" t="str">
        <f t="shared" si="26"/>
        <v/>
      </c>
    </row>
    <row r="139" spans="3:15">
      <c r="H139" s="2"/>
      <c r="O139" t="str">
        <f t="shared" si="26"/>
        <v/>
      </c>
    </row>
    <row r="140" spans="3:15">
      <c r="H140" s="2"/>
      <c r="O140" t="str">
        <f t="shared" si="26"/>
        <v/>
      </c>
    </row>
    <row r="141" spans="3:15">
      <c r="H141" s="2"/>
      <c r="O141" t="str">
        <f t="shared" si="26"/>
        <v/>
      </c>
    </row>
    <row r="142" spans="3:15">
      <c r="H142" s="2"/>
      <c r="O142" t="str">
        <f t="shared" si="26"/>
        <v/>
      </c>
    </row>
    <row r="143" spans="3:15">
      <c r="H143" s="2"/>
      <c r="O143" t="str">
        <f t="shared" si="26"/>
        <v/>
      </c>
    </row>
    <row r="144" spans="3:15">
      <c r="H144" s="2"/>
    </row>
    <row r="145" spans="4:15">
      <c r="H145" s="2"/>
    </row>
    <row r="146" spans="4:15">
      <c r="H146" s="2"/>
    </row>
    <row r="147" spans="4:15">
      <c r="H147" s="2"/>
      <c r="O147" t="str">
        <f>IF(E147="End of Season Dinner",C147,"")</f>
        <v/>
      </c>
    </row>
    <row r="148" spans="4:15">
      <c r="H148" s="2"/>
    </row>
    <row r="149" spans="4:15">
      <c r="H149" s="2"/>
    </row>
    <row r="150" spans="4:15">
      <c r="H150" s="2"/>
    </row>
    <row r="151" spans="4:15">
      <c r="H151" s="2"/>
    </row>
    <row r="152" spans="4:15">
      <c r="D152" s="56"/>
      <c r="E152" s="84"/>
      <c r="H152" s="2"/>
    </row>
    <row r="153" spans="4:15">
      <c r="H153" s="2"/>
    </row>
    <row r="154" spans="4:15">
      <c r="H154" s="2"/>
    </row>
    <row r="155" spans="4:15">
      <c r="H155" s="2"/>
    </row>
    <row r="156" spans="4:15">
      <c r="D156" s="56"/>
      <c r="E156" s="84"/>
      <c r="H156" s="2"/>
    </row>
    <row r="157" spans="4:15">
      <c r="H157" s="2"/>
    </row>
    <row r="158" spans="4:15">
      <c r="H158" s="2"/>
    </row>
    <row r="159" spans="4:15">
      <c r="H159" s="2"/>
    </row>
    <row r="160" spans="4:15">
      <c r="D160" s="56"/>
      <c r="E160" s="84"/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D181" s="56"/>
      <c r="E181" s="84"/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H185" s="2"/>
    </row>
    <row r="186" spans="3:8">
      <c r="C186" s="47"/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3:8">
      <c r="H193" s="2"/>
    </row>
    <row r="194" spans="3:8">
      <c r="H194" s="2"/>
    </row>
    <row r="195" spans="3:8">
      <c r="C195" s="5"/>
      <c r="H195" s="2"/>
    </row>
    <row r="196" spans="3:8">
      <c r="H196" s="2"/>
    </row>
    <row r="197" spans="3:8">
      <c r="H197" s="2"/>
    </row>
    <row r="198" spans="3:8">
      <c r="H198" s="2"/>
    </row>
    <row r="199" spans="3:8">
      <c r="H199" s="2"/>
    </row>
    <row r="200" spans="3:8">
      <c r="H200" s="2"/>
    </row>
    <row r="201" spans="3:8">
      <c r="D201" s="56"/>
      <c r="E201" s="84"/>
      <c r="H201" s="2"/>
    </row>
    <row r="202" spans="3:8">
      <c r="H202" s="2"/>
    </row>
    <row r="203" spans="3:8">
      <c r="H203" s="2"/>
    </row>
    <row r="204" spans="3:8">
      <c r="H204" s="2"/>
    </row>
    <row r="205" spans="3:8">
      <c r="H205" s="2"/>
    </row>
    <row r="206" spans="3:8">
      <c r="H206" s="2"/>
    </row>
    <row r="207" spans="3:8">
      <c r="H207" s="2"/>
    </row>
    <row r="208" spans="3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4:8">
      <c r="H225" s="2"/>
    </row>
    <row r="226" spans="4:8">
      <c r="H226" s="2"/>
    </row>
    <row r="227" spans="4:8">
      <c r="H227" s="2"/>
    </row>
    <row r="228" spans="4:8">
      <c r="H228" s="2"/>
    </row>
    <row r="229" spans="4:8">
      <c r="H229" s="2"/>
    </row>
    <row r="230" spans="4:8">
      <c r="H230" s="2"/>
    </row>
    <row r="231" spans="4:8">
      <c r="H231" s="2"/>
    </row>
    <row r="232" spans="4:8">
      <c r="H232" s="2"/>
    </row>
    <row r="233" spans="4:8">
      <c r="H233" s="2"/>
    </row>
    <row r="234" spans="4:8">
      <c r="H234" s="2"/>
    </row>
    <row r="235" spans="4:8">
      <c r="D235" s="56"/>
      <c r="E235" s="84"/>
      <c r="H235" s="2"/>
    </row>
    <row r="236" spans="4:8">
      <c r="H236" s="2"/>
    </row>
    <row r="237" spans="4:8">
      <c r="H237" s="2"/>
    </row>
    <row r="238" spans="4:8">
      <c r="H238" s="2"/>
    </row>
    <row r="239" spans="4:8">
      <c r="H239" s="2"/>
    </row>
    <row r="240" spans="4:8">
      <c r="H240" s="2"/>
    </row>
    <row r="241" spans="4:8">
      <c r="H241" s="2"/>
    </row>
    <row r="242" spans="4:8">
      <c r="H242" s="2"/>
    </row>
    <row r="243" spans="4:8">
      <c r="D243" s="56"/>
      <c r="E243" s="84"/>
      <c r="H243" s="2"/>
    </row>
    <row r="244" spans="4:8">
      <c r="D244" s="56"/>
      <c r="H244" s="2"/>
    </row>
    <row r="245" spans="4:8">
      <c r="H245" s="2"/>
    </row>
    <row r="246" spans="4:8">
      <c r="H246" s="2"/>
    </row>
    <row r="247" spans="4:8">
      <c r="H247" s="2"/>
    </row>
    <row r="248" spans="4:8">
      <c r="H248" s="2"/>
    </row>
    <row r="249" spans="4:8">
      <c r="H249" s="2"/>
    </row>
    <row r="250" spans="4:8">
      <c r="H250" s="2"/>
    </row>
    <row r="251" spans="4:8">
      <c r="H251" s="2"/>
    </row>
    <row r="252" spans="4:8">
      <c r="H252" s="2"/>
    </row>
    <row r="253" spans="4:8">
      <c r="H253" s="2"/>
    </row>
    <row r="254" spans="4:8">
      <c r="H254" s="2"/>
    </row>
    <row r="255" spans="4:8">
      <c r="H255" s="2"/>
    </row>
    <row r="256" spans="4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 t="str">
        <f t="shared" ref="H307:H316" si="27">IF(ISBLANK(G307), "", H306+G307)</f>
        <v/>
      </c>
    </row>
    <row r="308" spans="8:8">
      <c r="H308" s="2" t="str">
        <f t="shared" si="27"/>
        <v/>
      </c>
    </row>
    <row r="309" spans="8:8">
      <c r="H309" s="2" t="str">
        <f t="shared" si="27"/>
        <v/>
      </c>
    </row>
    <row r="310" spans="8:8">
      <c r="H310" s="2" t="str">
        <f t="shared" si="27"/>
        <v/>
      </c>
    </row>
    <row r="311" spans="8:8">
      <c r="H311" s="2" t="str">
        <f t="shared" si="27"/>
        <v/>
      </c>
    </row>
    <row r="312" spans="8:8">
      <c r="H312" s="2" t="str">
        <f t="shared" si="27"/>
        <v/>
      </c>
    </row>
    <row r="313" spans="8:8">
      <c r="H313" s="2" t="str">
        <f t="shared" si="27"/>
        <v/>
      </c>
    </row>
    <row r="314" spans="8:8">
      <c r="H314" s="2" t="str">
        <f t="shared" si="27"/>
        <v/>
      </c>
    </row>
    <row r="315" spans="8:8">
      <c r="H315" s="2" t="str">
        <f t="shared" si="27"/>
        <v/>
      </c>
    </row>
    <row r="316" spans="8:8">
      <c r="H316" s="2" t="str">
        <f t="shared" si="27"/>
        <v/>
      </c>
    </row>
  </sheetData>
  <autoFilter ref="A1:H242" xr:uid="{6141766D-C56A-4BA2-B367-5A9FD38DE247}"/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workbookViewId="0">
      <selection activeCell="H21" sqref="H21"/>
    </sheetView>
  </sheetViews>
  <sheetFormatPr defaultRowHeight="15"/>
  <cols>
    <col min="1" max="1" width="20.7109375" style="7" customWidth="1"/>
    <col min="2" max="2" width="4" bestFit="1" customWidth="1"/>
    <col min="3" max="3" width="54.5703125" bestFit="1" customWidth="1"/>
    <col min="4" max="4" width="20.7109375" customWidth="1"/>
    <col min="5" max="5" width="26.140625" style="82" bestFit="1" customWidth="1"/>
    <col min="6" max="6" width="8.5703125" bestFit="1" customWidth="1"/>
    <col min="7" max="7" width="20.7109375" style="1" customWidth="1"/>
    <col min="8" max="8" width="20.7109375" style="48" customWidth="1"/>
    <col min="10" max="10" width="9.140625" style="1"/>
    <col min="12" max="13" width="9.140625" style="54"/>
  </cols>
  <sheetData>
    <row r="1" spans="1:13">
      <c r="A1" s="6" t="s">
        <v>46</v>
      </c>
      <c r="B1" s="3" t="s">
        <v>47</v>
      </c>
      <c r="C1" s="3" t="s">
        <v>48</v>
      </c>
      <c r="D1" s="3" t="s">
        <v>49</v>
      </c>
      <c r="E1" s="83" t="s">
        <v>50</v>
      </c>
      <c r="F1" s="3" t="s">
        <v>51</v>
      </c>
      <c r="G1" s="4" t="s">
        <v>52</v>
      </c>
      <c r="H1" s="51" t="s">
        <v>53</v>
      </c>
      <c r="J1" s="1">
        <f>INDEX(H:H,COUNT(H:H)+1)</f>
        <v>265.85000000000002</v>
      </c>
      <c r="L1" s="54" t="s">
        <v>54</v>
      </c>
      <c r="M1" s="54" t="s">
        <v>55</v>
      </c>
    </row>
    <row r="2" spans="1:13">
      <c r="A2" s="7">
        <v>43252</v>
      </c>
      <c r="B2" t="s">
        <v>172</v>
      </c>
      <c r="C2" t="s">
        <v>57</v>
      </c>
      <c r="G2" s="1">
        <v>0</v>
      </c>
      <c r="H2" s="49">
        <v>0</v>
      </c>
      <c r="L2" s="54">
        <f>IF(G2 &gt; 0, G2, 0)</f>
        <v>0</v>
      </c>
      <c r="M2" s="54">
        <f>IF(G2 &lt; 0, G2, 0)</f>
        <v>0</v>
      </c>
    </row>
    <row r="3" spans="1:13">
      <c r="A3" s="7">
        <v>43739</v>
      </c>
      <c r="B3" t="s">
        <v>173</v>
      </c>
      <c r="C3" t="s">
        <v>174</v>
      </c>
      <c r="D3" t="str">
        <f>Summary!$E$19</f>
        <v>Merchandise</v>
      </c>
      <c r="E3" s="82" t="str">
        <f>Summary!$H$30</f>
        <v>None</v>
      </c>
      <c r="G3" s="1">
        <v>200</v>
      </c>
      <c r="H3" s="49">
        <f>H2+G3</f>
        <v>200</v>
      </c>
      <c r="L3" s="54">
        <f>IF(G3 &gt; 0, G3, 0)</f>
        <v>200</v>
      </c>
      <c r="M3" s="54">
        <f>IF(G3 &lt; 0, G3, 0)</f>
        <v>0</v>
      </c>
    </row>
    <row r="4" spans="1:13">
      <c r="A4" s="7">
        <v>43753</v>
      </c>
      <c r="B4" t="s">
        <v>175</v>
      </c>
      <c r="C4" t="s">
        <v>176</v>
      </c>
      <c r="D4" t="str">
        <f>Summary!$E$19</f>
        <v>Merchandise</v>
      </c>
      <c r="E4" s="82" t="str">
        <f>Summary!$H$30</f>
        <v>None</v>
      </c>
      <c r="G4" s="1">
        <v>50</v>
      </c>
      <c r="H4" s="49">
        <f>H3+G4</f>
        <v>250</v>
      </c>
      <c r="L4" s="54">
        <f>IF(G4 &gt; 0, G4, 0)</f>
        <v>50</v>
      </c>
      <c r="M4" s="54">
        <f>IF(G4 &lt; 0, G4, 0)</f>
        <v>0</v>
      </c>
    </row>
    <row r="5" spans="1:13">
      <c r="A5" s="7">
        <v>43753</v>
      </c>
      <c r="B5" t="s">
        <v>177</v>
      </c>
      <c r="C5" t="s">
        <v>178</v>
      </c>
      <c r="D5" t="str">
        <f>Summary!$E$19</f>
        <v>Merchandise</v>
      </c>
      <c r="E5" s="82" t="str">
        <f>Summary!$H$30</f>
        <v>None</v>
      </c>
      <c r="G5" s="1">
        <v>50</v>
      </c>
      <c r="H5" s="49">
        <f>H4+G5</f>
        <v>300</v>
      </c>
      <c r="L5" s="54">
        <f t="shared" ref="L5:L7" si="0">IF(G5 &gt; 0, G5, 0)</f>
        <v>50</v>
      </c>
      <c r="M5" s="54">
        <f t="shared" ref="M5:M7" si="1">IF(G5 &lt; 0, G5, 0)</f>
        <v>0</v>
      </c>
    </row>
    <row r="6" spans="1:13">
      <c r="A6" s="7">
        <v>43753</v>
      </c>
      <c r="B6" t="s">
        <v>179</v>
      </c>
      <c r="C6" t="s">
        <v>180</v>
      </c>
      <c r="D6" t="str">
        <f>Summary!$E$19</f>
        <v>Merchandise</v>
      </c>
      <c r="E6" s="82" t="str">
        <f>Summary!$H$30</f>
        <v>None</v>
      </c>
      <c r="G6" s="1">
        <v>15</v>
      </c>
      <c r="H6" s="49">
        <f>H5+G6</f>
        <v>315</v>
      </c>
      <c r="L6" s="54">
        <f t="shared" si="0"/>
        <v>15</v>
      </c>
      <c r="M6" s="54">
        <f t="shared" si="1"/>
        <v>0</v>
      </c>
    </row>
    <row r="7" spans="1:13">
      <c r="A7" s="7">
        <v>43753</v>
      </c>
      <c r="B7" t="s">
        <v>181</v>
      </c>
      <c r="C7" t="s">
        <v>182</v>
      </c>
      <c r="D7" t="str">
        <f>Summary!$E$22</f>
        <v>Social</v>
      </c>
      <c r="E7" s="52" t="str">
        <f>Summary!$H$16</f>
        <v>October general meeting</v>
      </c>
      <c r="G7" s="1">
        <v>-40</v>
      </c>
      <c r="H7" s="49">
        <f>H6+G7</f>
        <v>275</v>
      </c>
      <c r="L7" s="54">
        <f t="shared" si="0"/>
        <v>0</v>
      </c>
      <c r="M7" s="54">
        <f t="shared" si="1"/>
        <v>-40</v>
      </c>
    </row>
    <row r="8" spans="1:13">
      <c r="A8" s="7">
        <v>43753</v>
      </c>
      <c r="B8" t="s">
        <v>183</v>
      </c>
      <c r="C8" t="s">
        <v>184</v>
      </c>
      <c r="D8" t="str">
        <f>Summary!$E$19</f>
        <v>Merchandise</v>
      </c>
      <c r="E8" s="82" t="str">
        <f>Summary!$H$30</f>
        <v>None</v>
      </c>
      <c r="G8" s="1">
        <v>15</v>
      </c>
      <c r="H8" s="49">
        <f>H7+G8</f>
        <v>290</v>
      </c>
      <c r="L8" s="54">
        <f t="shared" ref="L8:L14" si="2">IF(G8 &gt; 0, G8, 0)</f>
        <v>15</v>
      </c>
      <c r="M8" s="54">
        <f t="shared" ref="M8:M14" si="3">IF(G8 &lt; 0, G8, 0)</f>
        <v>0</v>
      </c>
    </row>
    <row r="9" spans="1:13">
      <c r="A9" s="7">
        <v>43753</v>
      </c>
      <c r="B9" t="s">
        <v>185</v>
      </c>
      <c r="C9" t="s">
        <v>186</v>
      </c>
      <c r="D9" t="str">
        <f>Summary!$E$19</f>
        <v>Merchandise</v>
      </c>
      <c r="E9" s="82" t="str">
        <f>Summary!$H$30</f>
        <v>None</v>
      </c>
      <c r="G9" s="1">
        <v>35</v>
      </c>
      <c r="H9" s="49">
        <f>H8+G9</f>
        <v>325</v>
      </c>
      <c r="L9" s="54">
        <f t="shared" si="2"/>
        <v>35</v>
      </c>
      <c r="M9" s="54">
        <f t="shared" si="3"/>
        <v>0</v>
      </c>
    </row>
    <row r="10" spans="1:13">
      <c r="A10" s="7">
        <v>43753</v>
      </c>
      <c r="B10" t="s">
        <v>187</v>
      </c>
      <c r="C10" t="s">
        <v>188</v>
      </c>
      <c r="D10" t="str">
        <f>Summary!$E$19</f>
        <v>Merchandise</v>
      </c>
      <c r="E10" s="82" t="str">
        <f>Summary!$H$30</f>
        <v>None</v>
      </c>
      <c r="G10" s="1">
        <v>35</v>
      </c>
      <c r="H10" s="49">
        <f>H9+G10</f>
        <v>360</v>
      </c>
      <c r="L10" s="54">
        <f t="shared" si="2"/>
        <v>35</v>
      </c>
      <c r="M10" s="54">
        <f t="shared" si="3"/>
        <v>0</v>
      </c>
    </row>
    <row r="11" spans="1:13">
      <c r="A11" s="7">
        <v>43753</v>
      </c>
      <c r="B11" t="s">
        <v>189</v>
      </c>
      <c r="C11" s="1" t="s">
        <v>190</v>
      </c>
      <c r="D11" t="str">
        <f>Summary!$E$19</f>
        <v>Merchandise</v>
      </c>
      <c r="E11" s="82" t="str">
        <f>Summary!$H$30</f>
        <v>None</v>
      </c>
      <c r="G11" s="1">
        <v>15</v>
      </c>
      <c r="H11" s="49">
        <f>H10+G11</f>
        <v>375</v>
      </c>
      <c r="L11" s="54">
        <f t="shared" si="2"/>
        <v>15</v>
      </c>
      <c r="M11" s="54">
        <f t="shared" si="3"/>
        <v>0</v>
      </c>
    </row>
    <row r="12" spans="1:13">
      <c r="A12" s="7">
        <v>43753</v>
      </c>
      <c r="B12" t="s">
        <v>191</v>
      </c>
      <c r="C12" t="s">
        <v>192</v>
      </c>
      <c r="D12" t="str">
        <f>Summary!$E$19</f>
        <v>Merchandise</v>
      </c>
      <c r="E12" s="82" t="str">
        <f>Summary!$H$30</f>
        <v>None</v>
      </c>
      <c r="G12" s="1">
        <v>100</v>
      </c>
      <c r="H12" s="49">
        <f>H11+G12</f>
        <v>475</v>
      </c>
      <c r="L12" s="54">
        <f t="shared" si="2"/>
        <v>100</v>
      </c>
      <c r="M12" s="54">
        <f t="shared" si="3"/>
        <v>0</v>
      </c>
    </row>
    <row r="13" spans="1:13">
      <c r="A13" s="7">
        <v>43753</v>
      </c>
      <c r="B13" t="s">
        <v>193</v>
      </c>
      <c r="C13" t="s">
        <v>194</v>
      </c>
      <c r="D13" t="str">
        <f>Summary!$E$14</f>
        <v>Raffle</v>
      </c>
      <c r="E13" s="52" t="str">
        <f>Summary!$H$16</f>
        <v>October general meeting</v>
      </c>
      <c r="G13" s="1">
        <v>166</v>
      </c>
      <c r="H13" s="49">
        <f>H12+G13</f>
        <v>641</v>
      </c>
      <c r="L13" s="54">
        <f t="shared" si="2"/>
        <v>166</v>
      </c>
      <c r="M13" s="54">
        <f t="shared" si="3"/>
        <v>0</v>
      </c>
    </row>
    <row r="14" spans="1:13">
      <c r="A14" s="7">
        <v>43753</v>
      </c>
      <c r="B14" t="s">
        <v>195</v>
      </c>
      <c r="C14" t="s">
        <v>196</v>
      </c>
      <c r="D14" t="str">
        <f>Summary!$E$22</f>
        <v>Social</v>
      </c>
      <c r="E14" s="52" t="str">
        <f>Summary!$H$16</f>
        <v>October general meeting</v>
      </c>
      <c r="G14" s="1">
        <v>-260</v>
      </c>
      <c r="H14" s="49">
        <f>H13+G14</f>
        <v>381</v>
      </c>
      <c r="L14" s="54">
        <f t="shared" si="2"/>
        <v>0</v>
      </c>
      <c r="M14" s="54">
        <f t="shared" si="3"/>
        <v>-260</v>
      </c>
    </row>
    <row r="15" spans="1:13">
      <c r="A15" s="7">
        <v>43788</v>
      </c>
      <c r="B15" t="s">
        <v>197</v>
      </c>
      <c r="C15" t="s">
        <v>198</v>
      </c>
      <c r="D15" t="str">
        <f>Summary!$E$19</f>
        <v>Merchandise</v>
      </c>
      <c r="E15" s="82" t="str">
        <f>Summary!$H$30</f>
        <v>None</v>
      </c>
      <c r="G15" s="1">
        <v>35</v>
      </c>
      <c r="H15" s="49">
        <f>H14+G15</f>
        <v>416</v>
      </c>
      <c r="L15" s="54">
        <f t="shared" ref="L15" si="4">IF(G15 &gt; 0, G15, 0)</f>
        <v>35</v>
      </c>
      <c r="M15" s="54">
        <f t="shared" ref="M15" si="5">IF(G15 &lt; 0, G15, 0)</f>
        <v>0</v>
      </c>
    </row>
    <row r="16" spans="1:13">
      <c r="A16" s="7">
        <v>43788</v>
      </c>
      <c r="B16" t="s">
        <v>199</v>
      </c>
      <c r="C16" t="s">
        <v>200</v>
      </c>
      <c r="D16" t="str">
        <f>Summary!$E$22</f>
        <v>Social</v>
      </c>
      <c r="E16" s="52" t="str">
        <f>Summary!$H$17</f>
        <v>November general meeting</v>
      </c>
      <c r="G16" s="1">
        <v>-75</v>
      </c>
      <c r="H16" s="49">
        <f t="shared" ref="H16:H19" si="6">H15+G16</f>
        <v>341</v>
      </c>
      <c r="L16" s="54">
        <f t="shared" ref="L16:L19" si="7">IF(G16 &gt; 0, G16, 0)</f>
        <v>0</v>
      </c>
      <c r="M16" s="54">
        <f t="shared" ref="M16:M19" si="8">IF(G16 &lt; 0, G16, 0)</f>
        <v>-75</v>
      </c>
    </row>
    <row r="17" spans="1:13">
      <c r="A17" s="7">
        <v>43788</v>
      </c>
      <c r="B17" t="s">
        <v>201</v>
      </c>
      <c r="C17" t="s">
        <v>202</v>
      </c>
      <c r="D17" t="str">
        <f>Summary!$E$14</f>
        <v>Raffle</v>
      </c>
      <c r="E17" s="52" t="str">
        <f>Summary!$H$17</f>
        <v>November general meeting</v>
      </c>
      <c r="G17" s="1">
        <v>70.849999999999994</v>
      </c>
      <c r="H17" s="49">
        <f t="shared" si="6"/>
        <v>411.85</v>
      </c>
      <c r="L17" s="54">
        <f t="shared" si="7"/>
        <v>70.849999999999994</v>
      </c>
      <c r="M17" s="54">
        <f t="shared" si="8"/>
        <v>0</v>
      </c>
    </row>
    <row r="18" spans="1:13">
      <c r="A18" s="7">
        <v>43788</v>
      </c>
      <c r="B18" t="s">
        <v>203</v>
      </c>
      <c r="C18" t="s">
        <v>204</v>
      </c>
      <c r="D18" t="str">
        <f>Summary!$E$19</f>
        <v>Merchandise</v>
      </c>
      <c r="E18" s="82" t="str">
        <f>Summary!$H$30</f>
        <v>None</v>
      </c>
      <c r="G18" s="1">
        <v>-55</v>
      </c>
      <c r="H18" s="49">
        <f t="shared" si="6"/>
        <v>356.85</v>
      </c>
      <c r="L18" s="54">
        <f t="shared" si="7"/>
        <v>0</v>
      </c>
      <c r="M18" s="54">
        <f t="shared" si="8"/>
        <v>-55</v>
      </c>
    </row>
    <row r="19" spans="1:13">
      <c r="A19" s="7">
        <v>43788</v>
      </c>
      <c r="B19" t="s">
        <v>205</v>
      </c>
      <c r="C19" t="s">
        <v>206</v>
      </c>
      <c r="D19" t="str">
        <f>Summary!$E$22</f>
        <v>Social</v>
      </c>
      <c r="E19" s="52" t="str">
        <f>Summary!$H$17</f>
        <v>November general meeting</v>
      </c>
      <c r="G19" s="1">
        <v>-91</v>
      </c>
      <c r="H19" s="49">
        <f t="shared" si="6"/>
        <v>265.85000000000002</v>
      </c>
      <c r="L19" s="54">
        <f t="shared" si="7"/>
        <v>0</v>
      </c>
      <c r="M19" s="54">
        <f t="shared" si="8"/>
        <v>-91</v>
      </c>
    </row>
    <row r="20" spans="1:13">
      <c r="H20" s="49"/>
    </row>
    <row r="21" spans="1:13">
      <c r="H21" s="49"/>
    </row>
    <row r="22" spans="1:13">
      <c r="D22" s="56"/>
      <c r="E22" s="84"/>
      <c r="H22" s="49"/>
    </row>
    <row r="23" spans="1:13">
      <c r="H23" s="49"/>
    </row>
    <row r="24" spans="1:13">
      <c r="H24" s="49"/>
    </row>
    <row r="25" spans="1:13">
      <c r="H25" s="49"/>
    </row>
    <row r="26" spans="1:13">
      <c r="H26" s="49"/>
    </row>
    <row r="27" spans="1:13">
      <c r="H27" s="49"/>
    </row>
    <row r="28" spans="1:13">
      <c r="H28" s="49"/>
    </row>
    <row r="29" spans="1:13">
      <c r="H29" s="49"/>
    </row>
    <row r="30" spans="1:13">
      <c r="H30" s="49"/>
    </row>
    <row r="31" spans="1:13">
      <c r="H31" s="49"/>
    </row>
    <row r="32" spans="1:13">
      <c r="H32" s="49"/>
    </row>
    <row r="33" spans="3:8">
      <c r="H33" s="49"/>
    </row>
    <row r="34" spans="3:8">
      <c r="H34" s="49"/>
    </row>
    <row r="35" spans="3:8">
      <c r="H35" s="49"/>
    </row>
    <row r="36" spans="3:8">
      <c r="H36" s="49"/>
    </row>
    <row r="37" spans="3:8">
      <c r="H37" s="49"/>
    </row>
    <row r="38" spans="3:8">
      <c r="H38" s="49"/>
    </row>
    <row r="39" spans="3:8">
      <c r="H39" s="49"/>
    </row>
    <row r="40" spans="3:8">
      <c r="C40" s="46"/>
      <c r="H40" s="49"/>
    </row>
    <row r="41" spans="3:8">
      <c r="H41" s="49"/>
    </row>
    <row r="42" spans="3:8">
      <c r="H42" s="49"/>
    </row>
    <row r="43" spans="3:8">
      <c r="H43" s="49"/>
    </row>
    <row r="44" spans="3:8">
      <c r="H44" s="49"/>
    </row>
    <row r="45" spans="3:8">
      <c r="H45" s="49"/>
    </row>
    <row r="46" spans="3:8">
      <c r="H46" s="49"/>
    </row>
    <row r="47" spans="3:8">
      <c r="H47" s="49"/>
    </row>
    <row r="48" spans="3:8">
      <c r="H48" s="49"/>
    </row>
    <row r="49" spans="8:8">
      <c r="H49" s="49"/>
    </row>
    <row r="50" spans="8:8">
      <c r="H50" s="49"/>
    </row>
    <row r="51" spans="8:8">
      <c r="H51" s="49"/>
    </row>
    <row r="52" spans="8:8">
      <c r="H52" s="49"/>
    </row>
    <row r="53" spans="8:8">
      <c r="H53" s="49"/>
    </row>
    <row r="54" spans="8:8">
      <c r="H54" s="49"/>
    </row>
    <row r="55" spans="8:8">
      <c r="H55" s="49"/>
    </row>
    <row r="56" spans="8:8">
      <c r="H56" s="49"/>
    </row>
    <row r="57" spans="8:8">
      <c r="H57" s="49"/>
    </row>
    <row r="58" spans="8:8">
      <c r="H58" s="49"/>
    </row>
    <row r="59" spans="8:8">
      <c r="H59" s="49"/>
    </row>
    <row r="60" spans="8:8">
      <c r="H60" s="49"/>
    </row>
    <row r="61" spans="8:8">
      <c r="H61" s="49"/>
    </row>
    <row r="62" spans="8:8">
      <c r="H62" s="49"/>
    </row>
    <row r="63" spans="8:8">
      <c r="H63" s="49"/>
    </row>
    <row r="64" spans="8:8">
      <c r="H64" s="49"/>
    </row>
    <row r="65" spans="8:8">
      <c r="H65" s="49"/>
    </row>
    <row r="66" spans="8:8">
      <c r="H66" s="49"/>
    </row>
    <row r="67" spans="8:8">
      <c r="H67" s="49"/>
    </row>
    <row r="68" spans="8:8">
      <c r="H68" s="4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5"/>
  <sheetViews>
    <sheetView tabSelected="1" topLeftCell="C1" workbookViewId="0">
      <selection activeCell="L8" sqref="L8:M9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5" width="20.7109375" customWidth="1"/>
    <col min="6" max="6" width="5.140625" bestFit="1" customWidth="1"/>
    <col min="7" max="7" width="20.7109375" style="1" customWidth="1"/>
    <col min="8" max="8" width="20.7109375" style="5" customWidth="1"/>
    <col min="10" max="10" width="13.28515625" style="1" customWidth="1"/>
    <col min="12" max="12" width="9.140625" bestFit="1" customWidth="1"/>
    <col min="13" max="13" width="12" bestFit="1" customWidth="1"/>
  </cols>
  <sheetData>
    <row r="1" spans="1:13">
      <c r="A1" s="8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12214.730000000003</v>
      </c>
      <c r="L1" t="s">
        <v>54</v>
      </c>
      <c r="M1" t="s">
        <v>55</v>
      </c>
    </row>
    <row r="2" spans="1:13">
      <c r="A2" s="7">
        <v>43252</v>
      </c>
      <c r="B2" t="s">
        <v>207</v>
      </c>
      <c r="C2" t="s">
        <v>57</v>
      </c>
      <c r="E2" s="53"/>
      <c r="G2" s="17">
        <v>14095.14</v>
      </c>
      <c r="H2" s="2">
        <f>G2</f>
        <v>14095.14</v>
      </c>
    </row>
    <row r="3" spans="1:13">
      <c r="A3" s="7">
        <v>43646</v>
      </c>
      <c r="B3" t="s">
        <v>208</v>
      </c>
      <c r="C3" t="s">
        <v>13</v>
      </c>
      <c r="D3" t="str">
        <f>Summary!$E$13</f>
        <v>Interest</v>
      </c>
      <c r="E3" s="52" t="str">
        <f>Summary!$H$30</f>
        <v>None</v>
      </c>
      <c r="G3" s="1">
        <v>24.01</v>
      </c>
      <c r="H3" s="2">
        <f>H2+G3</f>
        <v>14119.15</v>
      </c>
      <c r="L3">
        <f t="shared" ref="L3:L4" si="0">IF(G3&gt;0,G3,0)</f>
        <v>24.01</v>
      </c>
      <c r="M3">
        <f t="shared" ref="M3:M4" si="1">IF(G3 &lt; 0, G3, 0)</f>
        <v>0</v>
      </c>
    </row>
    <row r="4" spans="1:13">
      <c r="A4" s="7">
        <v>43677</v>
      </c>
      <c r="B4" t="s">
        <v>209</v>
      </c>
      <c r="C4" t="s">
        <v>13</v>
      </c>
      <c r="D4" t="str">
        <f>Summary!$E$13</f>
        <v>Interest</v>
      </c>
      <c r="E4" s="52" t="str">
        <f>Summary!$H$30</f>
        <v>None</v>
      </c>
      <c r="G4" s="1">
        <v>22.04</v>
      </c>
      <c r="H4" s="2">
        <f>H3+G4</f>
        <v>14141.19</v>
      </c>
      <c r="L4">
        <f t="shared" si="0"/>
        <v>22.04</v>
      </c>
      <c r="M4">
        <f t="shared" si="1"/>
        <v>0</v>
      </c>
    </row>
    <row r="5" spans="1:13">
      <c r="A5" s="7">
        <v>43708</v>
      </c>
      <c r="B5" t="s">
        <v>210</v>
      </c>
      <c r="C5" t="s">
        <v>13</v>
      </c>
      <c r="D5" t="str">
        <f>Summary!$E$13</f>
        <v>Interest</v>
      </c>
      <c r="E5" s="52" t="str">
        <f>Summary!$H$30</f>
        <v>None</v>
      </c>
      <c r="G5" s="1">
        <v>21.01</v>
      </c>
      <c r="H5" s="2">
        <f>H4+G5</f>
        <v>14162.2</v>
      </c>
      <c r="L5">
        <f t="shared" ref="L5" si="2">IF(G5&gt;0,G5,0)</f>
        <v>21.01</v>
      </c>
      <c r="M5">
        <f t="shared" ref="M5" si="3">IF(G5 &lt; 0, G5, 0)</f>
        <v>0</v>
      </c>
    </row>
    <row r="6" spans="1:13">
      <c r="A6" s="7">
        <v>43738</v>
      </c>
      <c r="B6" t="s">
        <v>211</v>
      </c>
      <c r="C6" t="s">
        <v>13</v>
      </c>
      <c r="D6" t="str">
        <f>Summary!$E$13</f>
        <v>Interest</v>
      </c>
      <c r="E6" s="52" t="str">
        <f>Summary!$H$30</f>
        <v>None</v>
      </c>
      <c r="G6" s="1">
        <v>20.37</v>
      </c>
      <c r="H6" s="2">
        <f>H5+G6</f>
        <v>14182.570000000002</v>
      </c>
      <c r="L6">
        <f t="shared" ref="L6" si="4">IF(G6&gt;0,G6,0)</f>
        <v>20.37</v>
      </c>
      <c r="M6">
        <f t="shared" ref="M6" si="5">IF(G6 &lt; 0, G6, 0)</f>
        <v>0</v>
      </c>
    </row>
    <row r="7" spans="1:13">
      <c r="A7" s="7">
        <v>43746</v>
      </c>
      <c r="B7" t="s">
        <v>212</v>
      </c>
      <c r="C7" t="s">
        <v>213</v>
      </c>
      <c r="D7" t="str">
        <f>Summary!$E$20</f>
        <v>Transfer</v>
      </c>
      <c r="E7" s="82" t="str">
        <f>Summary!$H$30</f>
        <v>None</v>
      </c>
      <c r="G7" s="1">
        <v>-2000</v>
      </c>
      <c r="H7" s="2">
        <f>H6+G7</f>
        <v>12182.570000000002</v>
      </c>
      <c r="L7">
        <f t="shared" ref="L7" si="6">IF(G7&gt;0,G7,0)</f>
        <v>0</v>
      </c>
      <c r="M7">
        <f t="shared" ref="M7" si="7">IF(G7 &lt; 0, G7, 0)</f>
        <v>-2000</v>
      </c>
    </row>
    <row r="8" spans="1:13">
      <c r="A8" s="7">
        <v>43769</v>
      </c>
      <c r="B8" t="s">
        <v>214</v>
      </c>
      <c r="C8" t="s">
        <v>13</v>
      </c>
      <c r="D8" t="str">
        <f>Summary!$E$13</f>
        <v>Interest</v>
      </c>
      <c r="E8" s="52" t="str">
        <f>Summary!$H$30</f>
        <v>None</v>
      </c>
      <c r="G8" s="1">
        <v>17.12</v>
      </c>
      <c r="H8" s="2">
        <f>H7+G8</f>
        <v>12199.690000000002</v>
      </c>
      <c r="L8">
        <f t="shared" ref="L8" si="8">IF(G8&gt;0,G8,0)</f>
        <v>17.12</v>
      </c>
      <c r="M8">
        <f t="shared" ref="M8" si="9">IF(G8 &lt; 0, G8, 0)</f>
        <v>0</v>
      </c>
    </row>
    <row r="9" spans="1:13">
      <c r="A9" s="7">
        <v>43799</v>
      </c>
      <c r="B9" t="s">
        <v>215</v>
      </c>
      <c r="C9" t="s">
        <v>13</v>
      </c>
      <c r="D9" t="str">
        <f>Summary!$E$13</f>
        <v>Interest</v>
      </c>
      <c r="E9" s="52" t="str">
        <f>Summary!$H$30</f>
        <v>None</v>
      </c>
      <c r="G9" s="1">
        <v>15.04</v>
      </c>
      <c r="H9" s="2">
        <f>H8+G9</f>
        <v>12214.730000000003</v>
      </c>
      <c r="L9">
        <f t="shared" ref="L9" si="10">IF(G9&gt;0,G9,0)</f>
        <v>15.04</v>
      </c>
      <c r="M9">
        <f t="shared" ref="M9" si="11">IF(G9 &lt; 0, G9, 0)</f>
        <v>0</v>
      </c>
    </row>
    <row r="10" spans="1:13">
      <c r="E10" s="53"/>
      <c r="H10" s="2"/>
    </row>
    <row r="11" spans="1:13">
      <c r="D11" s="56"/>
      <c r="E11" s="56"/>
      <c r="H11" s="2"/>
    </row>
    <row r="12" spans="1:13">
      <c r="E12" s="53"/>
      <c r="H12" s="2"/>
    </row>
    <row r="13" spans="1:13">
      <c r="E13" s="53"/>
      <c r="H13" s="2"/>
    </row>
    <row r="14" spans="1:13">
      <c r="E14" s="53"/>
      <c r="H14" s="2"/>
    </row>
    <row r="15" spans="1:13">
      <c r="D15" s="56"/>
      <c r="E15" s="56"/>
      <c r="H15" s="2"/>
    </row>
    <row r="16" spans="1:13">
      <c r="E16" s="53"/>
      <c r="H16" s="2"/>
    </row>
    <row r="17" spans="5:8">
      <c r="E17" s="53"/>
      <c r="H17" s="2"/>
    </row>
    <row r="18" spans="5:8">
      <c r="E18" s="53"/>
      <c r="H18" s="2"/>
    </row>
    <row r="19" spans="5:8">
      <c r="E19" s="53"/>
      <c r="H19" s="2"/>
    </row>
    <row r="20" spans="5:8">
      <c r="E20" s="53"/>
      <c r="H20" s="2"/>
    </row>
    <row r="21" spans="5:8">
      <c r="E21" s="53"/>
      <c r="H21" s="2"/>
    </row>
    <row r="22" spans="5:8">
      <c r="E22" s="53"/>
      <c r="H22" s="2"/>
    </row>
    <row r="23" spans="5:8">
      <c r="E23" s="53"/>
      <c r="H23" s="2"/>
    </row>
    <row r="24" spans="5:8">
      <c r="E24" s="53"/>
      <c r="H24" s="2"/>
    </row>
    <row r="25" spans="5:8">
      <c r="E25" s="53"/>
      <c r="H25" s="2"/>
    </row>
    <row r="26" spans="5:8">
      <c r="E26" s="53"/>
      <c r="H26" s="2"/>
    </row>
    <row r="27" spans="5:8">
      <c r="E27" s="53"/>
      <c r="H27" s="2"/>
    </row>
    <row r="28" spans="5:8">
      <c r="E28" s="53"/>
      <c r="H28" s="2"/>
    </row>
    <row r="29" spans="5:8">
      <c r="E29" s="53"/>
      <c r="H29" s="2"/>
    </row>
    <row r="30" spans="5:8">
      <c r="E30" s="53"/>
      <c r="H30" s="2"/>
    </row>
    <row r="31" spans="5:8">
      <c r="E31" s="53"/>
      <c r="H31" s="2"/>
    </row>
    <row r="32" spans="5:8">
      <c r="E32" s="53"/>
      <c r="H32" s="2"/>
    </row>
    <row r="33" spans="5:8">
      <c r="E33" s="53"/>
      <c r="H33" s="2"/>
    </row>
    <row r="34" spans="5:8">
      <c r="E34" s="53"/>
      <c r="H34" s="2"/>
    </row>
    <row r="35" spans="5:8">
      <c r="E35" s="53"/>
      <c r="H35" s="2"/>
    </row>
    <row r="36" spans="5:8">
      <c r="E36" s="53"/>
      <c r="H36" s="2"/>
    </row>
    <row r="37" spans="5:8">
      <c r="E37" s="53"/>
      <c r="H37" s="2"/>
    </row>
    <row r="38" spans="5:8">
      <c r="E38" s="53"/>
      <c r="H38" s="2"/>
    </row>
    <row r="39" spans="5:8">
      <c r="E39" s="53"/>
      <c r="H39" s="2"/>
    </row>
    <row r="40" spans="5:8">
      <c r="E40" s="53"/>
      <c r="H40" s="2"/>
    </row>
    <row r="41" spans="5:8">
      <c r="E41" s="53"/>
      <c r="H41" s="2"/>
    </row>
    <row r="42" spans="5:8">
      <c r="E42" s="53"/>
      <c r="H42" s="2"/>
    </row>
    <row r="43" spans="5:8">
      <c r="E43" s="53"/>
      <c r="H43" s="2"/>
    </row>
    <row r="44" spans="5:8">
      <c r="E44" s="53"/>
      <c r="H44" s="2"/>
    </row>
    <row r="45" spans="5:8">
      <c r="E45" s="53"/>
      <c r="H45" s="2"/>
    </row>
    <row r="46" spans="5:8">
      <c r="E46" s="53"/>
      <c r="H46" s="2"/>
    </row>
    <row r="47" spans="5:8">
      <c r="E47" s="53"/>
      <c r="H47" s="2"/>
    </row>
    <row r="48" spans="5:8">
      <c r="E48" s="53"/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C185" s="47"/>
      <c r="H185" s="2"/>
    </row>
    <row r="186" spans="3:8"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3:8">
      <c r="H257" s="2"/>
    </row>
    <row r="258" spans="3:8">
      <c r="H258" s="2"/>
    </row>
    <row r="259" spans="3:8">
      <c r="H259" s="2"/>
    </row>
    <row r="260" spans="3:8">
      <c r="H260" s="2"/>
    </row>
    <row r="261" spans="3:8">
      <c r="H261" s="2"/>
    </row>
    <row r="262" spans="3:8">
      <c r="H262" s="2"/>
    </row>
    <row r="263" spans="3:8">
      <c r="H263" s="2"/>
    </row>
    <row r="264" spans="3:8">
      <c r="H264" s="2"/>
    </row>
    <row r="265" spans="3:8">
      <c r="H265" s="2"/>
    </row>
    <row r="266" spans="3:8">
      <c r="H266" s="2"/>
    </row>
    <row r="267" spans="3:8">
      <c r="H267" s="2"/>
    </row>
    <row r="268" spans="3:8">
      <c r="H268" s="2"/>
    </row>
    <row r="269" spans="3:8">
      <c r="H269" s="2"/>
    </row>
    <row r="270" spans="3:8">
      <c r="H270" s="2"/>
    </row>
    <row r="271" spans="3:8">
      <c r="H271" s="2"/>
    </row>
    <row r="272" spans="3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 t="str">
        <f t="shared" ref="H306:H315" si="12">IF(ISBLANK(G306), "", H305+G306)</f>
        <v/>
      </c>
    </row>
    <row r="307" spans="8:8">
      <c r="H307" s="2" t="str">
        <f t="shared" si="12"/>
        <v/>
      </c>
    </row>
    <row r="308" spans="8:8">
      <c r="H308" s="2" t="str">
        <f t="shared" si="12"/>
        <v/>
      </c>
    </row>
    <row r="309" spans="8:8">
      <c r="H309" s="2" t="str">
        <f t="shared" si="12"/>
        <v/>
      </c>
    </row>
    <row r="310" spans="8:8">
      <c r="H310" s="2" t="str">
        <f t="shared" si="12"/>
        <v/>
      </c>
    </row>
    <row r="311" spans="8:8">
      <c r="H311" s="2" t="str">
        <f t="shared" si="12"/>
        <v/>
      </c>
    </row>
    <row r="312" spans="8:8">
      <c r="H312" s="2" t="str">
        <f t="shared" si="12"/>
        <v/>
      </c>
    </row>
    <row r="313" spans="8:8">
      <c r="H313" s="2" t="str">
        <f t="shared" si="12"/>
        <v/>
      </c>
    </row>
    <row r="314" spans="8:8">
      <c r="H314" s="2" t="str">
        <f t="shared" si="12"/>
        <v/>
      </c>
    </row>
    <row r="315" spans="8:8">
      <c r="H315" s="2" t="str">
        <f t="shared" si="12"/>
        <v/>
      </c>
    </row>
  </sheetData>
  <sortState xmlns:xlrd2="http://schemas.microsoft.com/office/spreadsheetml/2017/richdata2" ref="K1:K1048548">
    <sortCondition ref="K1:K1048548"/>
  </sortState>
  <phoneticPr fontId="12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C08-D646-4D8C-9D09-FD9E80FB4FB9}">
  <dimension ref="A1:U20"/>
  <sheetViews>
    <sheetView workbookViewId="0">
      <selection activeCell="D13" sqref="B13:D13"/>
    </sheetView>
  </sheetViews>
  <sheetFormatPr defaultRowHeight="15"/>
  <cols>
    <col min="1" max="1" width="16.5703125" style="7" bestFit="1" customWidth="1"/>
    <col min="2" max="2" width="10.28515625" bestFit="1" customWidth="1"/>
    <col min="3" max="3" width="16.140625" bestFit="1" customWidth="1"/>
    <col min="4" max="5" width="9.85546875" bestFit="1" customWidth="1"/>
    <col min="6" max="6" width="27" bestFit="1" customWidth="1"/>
    <col min="7" max="7" width="10.85546875" bestFit="1" customWidth="1"/>
    <col min="8" max="8" width="12" bestFit="1" customWidth="1"/>
    <col min="9" max="14" width="9.85546875" bestFit="1" customWidth="1"/>
  </cols>
  <sheetData>
    <row r="1" spans="1:21">
      <c r="A1" s="7" t="s">
        <v>49</v>
      </c>
      <c r="B1" s="7" t="s">
        <v>54</v>
      </c>
      <c r="C1" s="7" t="s">
        <v>55</v>
      </c>
      <c r="D1" s="7" t="s">
        <v>53</v>
      </c>
      <c r="E1" s="7"/>
      <c r="F1" s="7" t="s">
        <v>50</v>
      </c>
      <c r="G1" s="7" t="s">
        <v>54</v>
      </c>
      <c r="H1" s="7" t="s">
        <v>55</v>
      </c>
      <c r="I1" s="7" t="s">
        <v>53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>
      <c r="A2" s="15" t="s">
        <v>13</v>
      </c>
      <c r="B2" s="54">
        <f>SUMIF('BOQ Cheque'!D:D,$A2,'BOQ Cheque'!L:L) + SUMIF('BOQ Savings'!D:D,$A2,'BOQ Savings'!L:L) + SUMIF(Cash!D:D,$A2,Cash!L:L)</f>
        <v>120.76</v>
      </c>
      <c r="C2" s="54">
        <f>SUMIF('BOQ Cheque'!D:D,$A2,'BOQ Cheque'!M:M) + SUMIF('BOQ Savings'!D:D,$A2,'BOQ Savings'!M:M) + SUMIF(Cash!D:D,$A2,Cash!M:M)</f>
        <v>0</v>
      </c>
      <c r="D2" s="54">
        <f>B2+C2</f>
        <v>120.76</v>
      </c>
      <c r="F2" s="68" t="s">
        <v>14</v>
      </c>
      <c r="G2" s="54">
        <f>SUMIF('BOQ Cheque'!E:E,$F2,'BOQ Cheque'!L:L) + SUMIF('BOQ Savings'!E:E,$F2,'BOQ Savings'!L:L) + SUMIF(Cash!E:E,$F2,Cash!L:L)</f>
        <v>0</v>
      </c>
      <c r="H2" s="54">
        <f>SUMIF('BOQ Cheque'!E:E,$F2,'BOQ Cheque'!M:M) + SUMIF('BOQ Savings'!E:E,$F2,'BOQ Savings'!M:M) + SUMIF(Cash!E:E,$F2,Cash!M:M)</f>
        <v>-715.56</v>
      </c>
      <c r="I2" s="54">
        <f>G2+H2</f>
        <v>-715.56</v>
      </c>
    </row>
    <row r="3" spans="1:21">
      <c r="A3" s="9" t="s">
        <v>16</v>
      </c>
      <c r="B3" s="54">
        <f>SUMIF('BOQ Cheque'!D:D,$A3,'BOQ Cheque'!L:L) + SUMIF('BOQ Savings'!D:D,$A3,'BOQ Savings'!L:L) + SUMIF(Cash!D:D,$A3,Cash!L:L)</f>
        <v>236.85</v>
      </c>
      <c r="C3" s="54">
        <f>SUMIF('BOQ Cheque'!D:D,$A3,'BOQ Cheque'!M:M) + SUMIF('BOQ Savings'!D:D,$A3,'BOQ Savings'!M:M) + SUMIF(Cash!D:D,$A3,Cash!M:M)</f>
        <v>-141.96</v>
      </c>
      <c r="D3" s="54">
        <f t="shared" ref="D3:D11" si="0">B3+C3</f>
        <v>94.889999999999986</v>
      </c>
      <c r="F3" s="63" t="s">
        <v>17</v>
      </c>
      <c r="G3" s="54">
        <f>SUMIF('BOQ Cheque'!E:E,$F3,'BOQ Cheque'!L:L) + SUMIF('BOQ Savings'!E:E,$F3,'BOQ Savings'!L:L) + SUMIF(Cash!E:E,$F3,Cash!L:L)</f>
        <v>1220</v>
      </c>
      <c r="H3" s="54">
        <f>SUMIF('BOQ Cheque'!E:E,$F3,'BOQ Cheque'!M:M) + SUMIF('BOQ Savings'!E:E,$F3,'BOQ Savings'!M:M) + SUMIF(Cash!E:E,$F3,Cash!M:M)</f>
        <v>-908.12</v>
      </c>
      <c r="I3" s="54">
        <f t="shared" ref="I3:I19" si="1">G3+H3</f>
        <v>311.88</v>
      </c>
    </row>
    <row r="4" spans="1:21">
      <c r="A4" s="9" t="s">
        <v>19</v>
      </c>
      <c r="B4" s="54">
        <f>SUMIF('BOQ Cheque'!D:D,$A4,'BOQ Cheque'!L:L) + SUMIF('BOQ Savings'!D:D,$A4,'BOQ Savings'!L:L) + SUMIF(Cash!D:D,$A4,Cash!L:L)</f>
        <v>0</v>
      </c>
      <c r="C4" s="54">
        <f>SUMIF('BOQ Cheque'!D:D,$A4,'BOQ Cheque'!M:M) + SUMIF('BOQ Savings'!D:D,$A4,'BOQ Savings'!M:M) + SUMIF(Cash!D:D,$A4,Cash!M:M)</f>
        <v>-500</v>
      </c>
      <c r="D4" s="54">
        <f t="shared" si="0"/>
        <v>-500</v>
      </c>
      <c r="F4" s="63" t="s">
        <v>20</v>
      </c>
      <c r="G4" s="54">
        <f>SUMIF('BOQ Cheque'!E:E,$F4,'BOQ Cheque'!L:L) + SUMIF('BOQ Savings'!E:E,$F4,'BOQ Savings'!L:L) + SUMIF(Cash!E:E,$F4,Cash!L:L)</f>
        <v>0</v>
      </c>
      <c r="H4" s="54">
        <f>SUMIF('BOQ Cheque'!E:E,$F4,'BOQ Cheque'!M:M) + SUMIF('BOQ Savings'!E:E,$F4,'BOQ Savings'!M:M) + SUMIF(Cash!E:E,$F4,Cash!M:M)</f>
        <v>-521</v>
      </c>
      <c r="I4" s="54">
        <f t="shared" si="1"/>
        <v>-521</v>
      </c>
    </row>
    <row r="5" spans="1:21">
      <c r="A5" s="9" t="s">
        <v>22</v>
      </c>
      <c r="B5" s="54">
        <f>SUMIF('BOQ Cheque'!D:D,$A5,'BOQ Cheque'!L:L) + SUMIF('BOQ Savings'!D:D,$A5,'BOQ Savings'!L:L) + SUMIF(Cash!D:D,$A5,Cash!L:L)</f>
        <v>0</v>
      </c>
      <c r="C5" s="54">
        <f>SUMIF('BOQ Cheque'!D:D,$A5,'BOQ Cheque'!M:M) + SUMIF('BOQ Savings'!D:D,$A5,'BOQ Savings'!M:M) + SUMIF(Cash!D:D,$A5,Cash!M:M)</f>
        <v>0</v>
      </c>
      <c r="D5" s="54">
        <f t="shared" si="0"/>
        <v>0</v>
      </c>
      <c r="F5" s="63" t="s">
        <v>23</v>
      </c>
      <c r="G5" s="54">
        <f>SUMIF('BOQ Cheque'!E:E,$F5,'BOQ Cheque'!L:L) + SUMIF('BOQ Savings'!E:E,$F5,'BOQ Savings'!L:L) + SUMIF(Cash!E:E,$F5,Cash!L:L)</f>
        <v>166</v>
      </c>
      <c r="H5" s="54">
        <f>SUMIF('BOQ Cheque'!E:E,$F5,'BOQ Cheque'!M:M) + SUMIF('BOQ Savings'!E:E,$F5,'BOQ Savings'!M:M) + SUMIF(Cash!E:E,$F5,Cash!M:M)</f>
        <v>-300</v>
      </c>
      <c r="I5" s="54">
        <f t="shared" si="1"/>
        <v>-134</v>
      </c>
    </row>
    <row r="6" spans="1:21">
      <c r="A6" s="9" t="s">
        <v>24</v>
      </c>
      <c r="B6" s="54">
        <f>SUMIF('BOQ Cheque'!D:D,$A6,'BOQ Cheque'!L:L) + SUMIF('BOQ Savings'!D:D,$A6,'BOQ Savings'!L:L) + SUMIF(Cash!D:D,$A6,Cash!L:L)</f>
        <v>220</v>
      </c>
      <c r="C6" s="54">
        <f>SUMIF('BOQ Cheque'!D:D,$A6,'BOQ Cheque'!M:M) + SUMIF('BOQ Savings'!D:D,$A6,'BOQ Savings'!M:M) + SUMIF(Cash!D:D,$A6,Cash!M:M)</f>
        <v>-55</v>
      </c>
      <c r="D6" s="54">
        <f t="shared" si="0"/>
        <v>165</v>
      </c>
      <c r="F6" s="63" t="s">
        <v>25</v>
      </c>
      <c r="G6" s="54">
        <f>SUMIF('BOQ Cheque'!E:E,$F6,'BOQ Cheque'!L:L) + SUMIF('BOQ Savings'!E:E,$F6,'BOQ Savings'!L:L) + SUMIF(Cash!E:E,$F6,Cash!L:L)</f>
        <v>70.849999999999994</v>
      </c>
      <c r="H6" s="54">
        <f>SUMIF('BOQ Cheque'!E:E,$F6,'BOQ Cheque'!M:M) + SUMIF('BOQ Savings'!E:E,$F6,'BOQ Savings'!M:M) + SUMIF(Cash!E:E,$F6,Cash!M:M)</f>
        <v>-166</v>
      </c>
      <c r="I6" s="54">
        <f t="shared" si="1"/>
        <v>-95.15</v>
      </c>
    </row>
    <row r="7" spans="1:21">
      <c r="A7" s="9" t="s">
        <v>26</v>
      </c>
      <c r="B7" s="54">
        <f>SUMIF('BOQ Cheque'!D:D,$A7,'BOQ Cheque'!L:L) + SUMIF('BOQ Savings'!D:D,$A7,'BOQ Savings'!L:L) + SUMIF(Cash!D:D,$A7,Cash!L:L)</f>
        <v>0</v>
      </c>
      <c r="C7" s="54">
        <f>SUMIF('BOQ Cheque'!D:D,$A7,'BOQ Cheque'!M:M) + SUMIF('BOQ Savings'!D:D,$A7,'BOQ Savings'!M:M) + SUMIF(Cash!D:D,$A7,Cash!M:M)</f>
        <v>-211.16</v>
      </c>
      <c r="D7" s="54">
        <f t="shared" si="0"/>
        <v>-211.16</v>
      </c>
      <c r="F7" s="63" t="s">
        <v>216</v>
      </c>
      <c r="G7" s="54">
        <f>SUMIF('BOQ Cheque'!E:E,$F7,'BOQ Cheque'!L:L) + SUMIF('BOQ Savings'!E:E,$F7,'BOQ Savings'!L:L) + SUMIF(Cash!E:E,$F7,Cash!L:L)</f>
        <v>0</v>
      </c>
      <c r="H7" s="54">
        <f>SUMIF('BOQ Cheque'!E:E,$F7,'BOQ Cheque'!M:M) + SUMIF('BOQ Savings'!E:E,$F7,'BOQ Savings'!M:M) + SUMIF(Cash!E:E,$F7,Cash!M:M)</f>
        <v>0</v>
      </c>
      <c r="I7" s="54">
        <f t="shared" si="1"/>
        <v>0</v>
      </c>
    </row>
    <row r="8" spans="1:21">
      <c r="A8" s="9" t="s">
        <v>28</v>
      </c>
      <c r="B8" s="54">
        <f>SUMIF('BOQ Cheque'!D:D,$A8,'BOQ Cheque'!L:L) + SUMIF('BOQ Savings'!D:D,$A8,'BOQ Savings'!L:L) + SUMIF(Cash!D:D,$A8,Cash!L:L)</f>
        <v>2490</v>
      </c>
      <c r="C8" s="54">
        <f>SUMIF('BOQ Cheque'!D:D,$A8,'BOQ Cheque'!M:M) + SUMIF('BOQ Savings'!D:D,$A8,'BOQ Savings'!M:M) + SUMIF(Cash!D:D,$A8,Cash!M:M)</f>
        <v>-3380.71</v>
      </c>
      <c r="D8" s="54">
        <f t="shared" si="0"/>
        <v>-890.71</v>
      </c>
      <c r="F8" s="63" t="s">
        <v>217</v>
      </c>
      <c r="G8" s="54">
        <f>SUMIF('BOQ Cheque'!E:E,$F8,'BOQ Cheque'!L:L) + SUMIF('BOQ Savings'!E:E,$F8,'BOQ Savings'!L:L) + SUMIF(Cash!E:E,$F8,Cash!L:L)</f>
        <v>0</v>
      </c>
      <c r="H8" s="54">
        <f>SUMIF('BOQ Cheque'!E:E,$F8,'BOQ Cheque'!M:M) + SUMIF('BOQ Savings'!E:E,$F8,'BOQ Savings'!M:M) + SUMIF(Cash!E:E,$F8,Cash!M:M)</f>
        <v>0</v>
      </c>
      <c r="I8" s="54">
        <f t="shared" si="1"/>
        <v>0</v>
      </c>
    </row>
    <row r="9" spans="1:21">
      <c r="A9" s="9" t="s">
        <v>32</v>
      </c>
      <c r="B9" s="54">
        <f>SUMIF('BOQ Cheque'!D:D,$A9,'BOQ Cheque'!L:L) + SUMIF('BOQ Savings'!D:D,$A9,'BOQ Savings'!L:L) + SUMIF(Cash!D:D,$A9,Cash!L:L)</f>
        <v>0</v>
      </c>
      <c r="C9" s="54">
        <f>SUMIF('BOQ Cheque'!D:D,$A9,'BOQ Cheque'!M:M) + SUMIF('BOQ Savings'!D:D,$A9,'BOQ Savings'!M:M) + SUMIF(Cash!D:D,$A9,Cash!M:M)</f>
        <v>-773.19</v>
      </c>
      <c r="D9" s="54">
        <f t="shared" si="0"/>
        <v>-773.19</v>
      </c>
      <c r="F9" s="63" t="s">
        <v>31</v>
      </c>
      <c r="G9" s="54">
        <f>SUMIF('BOQ Cheque'!E:E,$F9,'BOQ Cheque'!L:L) + SUMIF('BOQ Savings'!E:E,$F9,'BOQ Savings'!L:L) + SUMIF(Cash!E:E,$F9,Cash!L:L)</f>
        <v>0</v>
      </c>
      <c r="H9" s="54">
        <f>SUMIF('BOQ Cheque'!E:E,$F9,'BOQ Cheque'!M:M) + SUMIF('BOQ Savings'!E:E,$F9,'BOQ Savings'!M:M) + SUMIF(Cash!E:E,$F9,Cash!M:M)</f>
        <v>0</v>
      </c>
      <c r="I9" s="54">
        <f t="shared" si="1"/>
        <v>0</v>
      </c>
    </row>
    <row r="10" spans="1:21">
      <c r="A10" s="9" t="s">
        <v>34</v>
      </c>
      <c r="B10" s="54">
        <f>SUMIF('BOQ Cheque'!D:D,$A10,'BOQ Cheque'!L:L) + SUMIF('BOQ Savings'!D:D,$A10,'BOQ Savings'!L:L) + SUMIF(Cash!D:D,$A10,Cash!L:L)</f>
        <v>35</v>
      </c>
      <c r="C10" s="54">
        <f>SUMIF('BOQ Cheque'!D:D,$A10,'BOQ Cheque'!M:M) + SUMIF('BOQ Savings'!D:D,$A10,'BOQ Savings'!M:M) + SUMIF(Cash!D:D,$A10,Cash!M:M)</f>
        <v>-2453.91</v>
      </c>
      <c r="D10" s="54">
        <f t="shared" si="0"/>
        <v>-2418.91</v>
      </c>
      <c r="F10" s="63" t="s">
        <v>33</v>
      </c>
      <c r="G10" s="54">
        <f>SUMIF('BOQ Cheque'!E:E,$F10,'BOQ Cheque'!L:L) + SUMIF('BOQ Savings'!E:E,$F10,'BOQ Savings'!L:L) + SUMIF(Cash!E:E,$F10,Cash!L:L)</f>
        <v>0</v>
      </c>
      <c r="H10" s="54">
        <f>SUMIF('BOQ Cheque'!E:E,$F10,'BOQ Cheque'!M:M) + SUMIF('BOQ Savings'!E:E,$F10,'BOQ Savings'!M:M) + SUMIF(Cash!E:E,$F10,Cash!M:M)</f>
        <v>0</v>
      </c>
      <c r="I10" s="54">
        <f t="shared" si="1"/>
        <v>0</v>
      </c>
    </row>
    <row r="11" spans="1:21">
      <c r="A11" s="10" t="s">
        <v>36</v>
      </c>
      <c r="B11" s="54">
        <f>SUMIF('BOQ Cheque'!D:D,$A11,'BOQ Cheque'!L:L) + SUMIF('BOQ Savings'!D:D,$A11,'BOQ Savings'!L:L) + SUMIF(Cash!D:D,$A11,Cash!L:L)</f>
        <v>1000</v>
      </c>
      <c r="C11" s="54">
        <f>SUMIF('BOQ Cheque'!D:D,$A11,'BOQ Cheque'!M:M) + SUMIF('BOQ Savings'!D:D,$A11,'BOQ Savings'!M:M) + SUMIF(Cash!D:D,$A11,Cash!M:M)</f>
        <v>0</v>
      </c>
      <c r="D11" s="54">
        <f t="shared" si="0"/>
        <v>1000</v>
      </c>
      <c r="F11" s="63" t="s">
        <v>35</v>
      </c>
      <c r="G11" s="54">
        <f>SUMIF('BOQ Cheque'!E:E,$F11,'BOQ Cheque'!L:L) + SUMIF('BOQ Savings'!E:E,$F11,'BOQ Savings'!L:L) + SUMIF(Cash!E:E,$F11,Cash!L:L)</f>
        <v>0</v>
      </c>
      <c r="H11" s="54">
        <f>SUMIF('BOQ Cheque'!E:E,$F11,'BOQ Cheque'!M:M) + SUMIF('BOQ Savings'!E:E,$F11,'BOQ Savings'!M:M) + SUMIF(Cash!E:E,$F11,Cash!M:M)</f>
        <v>0</v>
      </c>
      <c r="I11" s="54">
        <f t="shared" si="1"/>
        <v>0</v>
      </c>
    </row>
    <row r="12" spans="1:21">
      <c r="F12" s="63" t="s">
        <v>37</v>
      </c>
      <c r="G12" s="54">
        <f>SUMIF('BOQ Cheque'!E:E,$F12,'BOQ Cheque'!L:L) + SUMIF('BOQ Savings'!E:E,$F12,'BOQ Savings'!L:L) + SUMIF(Cash!E:E,$F12,Cash!L:L)</f>
        <v>0</v>
      </c>
      <c r="H12" s="54">
        <f>SUMIF('BOQ Cheque'!E:E,$F12,'BOQ Cheque'!M:M) + SUMIF('BOQ Savings'!E:E,$F12,'BOQ Savings'!M:M) + SUMIF(Cash!E:E,$F12,Cash!M:M)</f>
        <v>0</v>
      </c>
      <c r="I12" s="54">
        <f t="shared" si="1"/>
        <v>0</v>
      </c>
    </row>
    <row r="13" spans="1:21">
      <c r="B13" s="78">
        <f>SUM(B2:B11)</f>
        <v>4102.6100000000006</v>
      </c>
      <c r="C13" s="78">
        <f>SUM(C2:C11)</f>
        <v>-7515.93</v>
      </c>
      <c r="D13" s="78">
        <f>SUM(D2:D11)</f>
        <v>-3413.3199999999997</v>
      </c>
      <c r="F13" s="63" t="s">
        <v>39</v>
      </c>
      <c r="G13" s="54">
        <f>SUMIF('BOQ Cheque'!E:E,$F13,'BOQ Cheque'!L:L) + SUMIF('BOQ Savings'!E:E,$F13,'BOQ Savings'!L:L) + SUMIF(Cash!E:E,$F13,Cash!L:L)</f>
        <v>0</v>
      </c>
      <c r="H13" s="54">
        <f>SUMIF('BOQ Cheque'!E:E,$F13,'BOQ Cheque'!M:M) + SUMIF('BOQ Savings'!E:E,$F13,'BOQ Savings'!M:M) + SUMIF(Cash!E:E,$F13,Cash!M:M)</f>
        <v>0</v>
      </c>
      <c r="I13" s="54">
        <f t="shared" si="1"/>
        <v>0</v>
      </c>
    </row>
    <row r="14" spans="1:21">
      <c r="C14" s="54"/>
      <c r="F14" s="66" t="s">
        <v>40</v>
      </c>
      <c r="G14" s="54">
        <f>SUMIF('BOQ Cheque'!E:E,$F14,'BOQ Cheque'!L:L) + SUMIF('BOQ Savings'!E:E,$F14,'BOQ Savings'!L:L) + SUMIF(Cash!E:E,$F14,Cash!L:L)</f>
        <v>0</v>
      </c>
      <c r="H14" s="54">
        <f>SUMIF('BOQ Cheque'!E:E,$F14,'BOQ Cheque'!M:M) + SUMIF('BOQ Savings'!E:E,$F14,'BOQ Savings'!M:M) + SUMIF(Cash!E:E,$F14,Cash!M:M)</f>
        <v>0</v>
      </c>
      <c r="I14" s="54">
        <f t="shared" si="1"/>
        <v>0</v>
      </c>
    </row>
    <row r="15" spans="1:21">
      <c r="F15" s="70" t="s">
        <v>41</v>
      </c>
      <c r="G15" s="54">
        <f>SUMIF('BOQ Cheque'!E:E,$F15,'BOQ Cheque'!L:L) + SUMIF('BOQ Savings'!E:E,$F15,'BOQ Savings'!L:L) + SUMIF(Cash!E:E,$F15,Cash!L:L)</f>
        <v>0</v>
      </c>
      <c r="H15" s="54">
        <f>SUMIF('BOQ Cheque'!E:E,$F15,'BOQ Cheque'!M:M) + SUMIF('BOQ Savings'!E:E,$F15,'BOQ Savings'!M:M) + SUMIF(Cash!E:E,$F15,Cash!M:M)</f>
        <v>0</v>
      </c>
      <c r="I15" s="54">
        <f t="shared" si="1"/>
        <v>0</v>
      </c>
    </row>
    <row r="16" spans="1:21">
      <c r="F16" s="70" t="s">
        <v>42</v>
      </c>
      <c r="G16" s="54">
        <f>SUMIF('BOQ Cheque'!E:E,$F16,'BOQ Cheque'!L:L) + SUMIF('BOQ Savings'!E:E,$F16,'BOQ Savings'!L:L) + SUMIF(Cash!E:E,$F16,Cash!L:L)</f>
        <v>0</v>
      </c>
      <c r="H16" s="54">
        <f>SUMIF('BOQ Cheque'!E:E,$F16,'BOQ Cheque'!M:M) + SUMIF('BOQ Savings'!E:E,$F16,'BOQ Savings'!M:M) + SUMIF(Cash!E:E,$F16,Cash!M:M)</f>
        <v>0</v>
      </c>
      <c r="I16" s="54">
        <f t="shared" si="1"/>
        <v>0</v>
      </c>
    </row>
    <row r="17" spans="6:9">
      <c r="F17" s="70" t="s">
        <v>43</v>
      </c>
      <c r="G17" s="54">
        <f>SUMIF('BOQ Cheque'!E:E,$F17,'BOQ Cheque'!L:L) + SUMIF('BOQ Savings'!E:E,$F17,'BOQ Savings'!L:L) + SUMIF(Cash!E:E,$F17,Cash!L:L)</f>
        <v>0</v>
      </c>
      <c r="H17" s="54">
        <f>SUMIF('BOQ Cheque'!E:E,$F17,'BOQ Cheque'!M:M) + SUMIF('BOQ Savings'!E:E,$F17,'BOQ Savings'!M:M) + SUMIF(Cash!E:E,$F17,Cash!M:M)</f>
        <v>0</v>
      </c>
      <c r="I17" s="54">
        <f t="shared" si="1"/>
        <v>0</v>
      </c>
    </row>
    <row r="18" spans="6:9">
      <c r="F18" s="74" t="s">
        <v>44</v>
      </c>
      <c r="G18" s="54">
        <f>SUMIF('BOQ Cheque'!E:E,$F18,'BOQ Cheque'!L:L) + SUMIF('BOQ Savings'!E:E,$F18,'BOQ Savings'!L:L) + SUMIF(Cash!E:E,$F18,Cash!L:L)</f>
        <v>0</v>
      </c>
      <c r="H18" s="54">
        <f>SUMIF('BOQ Cheque'!E:E,$F18,'BOQ Cheque'!M:M) + SUMIF('BOQ Savings'!E:E,$F18,'BOQ Savings'!M:M) + SUMIF(Cash!E:E,$F18,Cash!M:M)</f>
        <v>0</v>
      </c>
      <c r="I18" s="54">
        <f t="shared" si="1"/>
        <v>0</v>
      </c>
    </row>
    <row r="19" spans="6:9">
      <c r="F19" s="71" t="s">
        <v>45</v>
      </c>
      <c r="G19" s="54">
        <f>SUMIF('BOQ Cheque'!E:E,$F19,'BOQ Cheque'!L:L) + SUMIF('BOQ Savings'!E:E,$F19,'BOQ Savings'!L:L) + SUMIF(Cash!E:E,$F19,Cash!L:L)</f>
        <v>4610.76</v>
      </c>
      <c r="H19" s="54">
        <f>SUMIF('BOQ Cheque'!E:E,$F19,'BOQ Cheque'!M:M) + SUMIF('BOQ Savings'!E:E,$F19,'BOQ Savings'!M:M) + SUMIF(Cash!E:E,$F19,Cash!M:M)</f>
        <v>-5825.25</v>
      </c>
      <c r="I19" s="54">
        <f t="shared" si="1"/>
        <v>-1214.4899999999998</v>
      </c>
    </row>
    <row r="20" spans="6:9">
      <c r="H20" s="5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2107-8778-43E1-88D7-B4792BDC5690}">
  <dimension ref="A1"/>
  <sheetViews>
    <sheetView topLeftCell="A20" workbookViewId="0">
      <selection activeCell="X41" sqref="X4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topLeftCell="A11" workbookViewId="0">
      <selection activeCell="A32" sqref="A32"/>
    </sheetView>
  </sheetViews>
  <sheetFormatPr defaultRowHeight="15"/>
  <cols>
    <col min="1" max="1" width="37.85546875" customWidth="1"/>
    <col min="2" max="2" width="10.140625" customWidth="1"/>
    <col min="3" max="3" width="10.140625" style="1" customWidth="1"/>
    <col min="4" max="4" width="15" style="1" customWidth="1"/>
    <col min="5" max="5" width="37.7109375" customWidth="1"/>
    <col min="6" max="6" width="13.7109375" style="17" customWidth="1"/>
    <col min="7" max="7" width="14.140625" style="17" customWidth="1"/>
    <col min="8" max="8" width="15.85546875" customWidth="1"/>
  </cols>
  <sheetData>
    <row r="1" spans="1:7" ht="30" customHeight="1">
      <c r="A1" s="24" t="s">
        <v>218</v>
      </c>
      <c r="B1" s="25" t="s">
        <v>219</v>
      </c>
      <c r="C1" s="26" t="s">
        <v>220</v>
      </c>
      <c r="D1" s="26" t="s">
        <v>221</v>
      </c>
      <c r="E1" s="27" t="s">
        <v>222</v>
      </c>
      <c r="F1" s="20" t="s">
        <v>223</v>
      </c>
      <c r="G1" s="21" t="s">
        <v>55</v>
      </c>
    </row>
    <row r="2" spans="1:7">
      <c r="A2" s="28" t="s">
        <v>224</v>
      </c>
      <c r="B2" s="18">
        <v>120</v>
      </c>
      <c r="C2" s="19">
        <v>55</v>
      </c>
      <c r="D2" s="19" t="s">
        <v>223</v>
      </c>
      <c r="E2" s="29"/>
      <c r="F2" s="43">
        <f>IF(D2="Income",B2*C2,"")</f>
        <v>6600</v>
      </c>
      <c r="G2" s="42" t="str">
        <f>IF(D2="Expenditure",B2*C2,"")</f>
        <v/>
      </c>
    </row>
    <row r="3" spans="1:7">
      <c r="A3" s="28" t="s">
        <v>36</v>
      </c>
      <c r="B3" s="18">
        <v>1</v>
      </c>
      <c r="C3" s="19">
        <v>1000</v>
      </c>
      <c r="D3" s="19" t="s">
        <v>223</v>
      </c>
      <c r="E3" s="29"/>
      <c r="F3" s="43">
        <f>IF(D3="Income",B3*C3,"")</f>
        <v>1000</v>
      </c>
      <c r="G3" s="42" t="str">
        <f>IF(D3="Expenditure",B3*C3,"")</f>
        <v/>
      </c>
    </row>
    <row r="4" spans="1:7">
      <c r="A4" s="28" t="s">
        <v>225</v>
      </c>
      <c r="B4" s="79">
        <v>25</v>
      </c>
      <c r="C4" s="80">
        <v>30</v>
      </c>
      <c r="D4" s="75" t="s">
        <v>223</v>
      </c>
      <c r="E4" s="81"/>
      <c r="F4" s="43">
        <f>IF(D4="Income",B4*C4,"")</f>
        <v>750</v>
      </c>
      <c r="G4" s="42" t="str">
        <f>IF(D4="Expenditure",B4*C4,"")</f>
        <v/>
      </c>
    </row>
    <row r="5" spans="1:7">
      <c r="A5" s="28" t="s">
        <v>226</v>
      </c>
      <c r="B5" s="18">
        <v>15</v>
      </c>
      <c r="C5" s="19">
        <v>50</v>
      </c>
      <c r="D5" s="19" t="s">
        <v>223</v>
      </c>
      <c r="E5" s="29"/>
      <c r="F5" s="43">
        <f>IF(D5="Income",B5*C5,"")</f>
        <v>750</v>
      </c>
      <c r="G5" s="42" t="str">
        <f>IF(D5="Expenditure",B5*C5,"")</f>
        <v/>
      </c>
    </row>
    <row r="6" spans="1:7">
      <c r="A6" s="28" t="s">
        <v>227</v>
      </c>
      <c r="B6" s="18">
        <v>20</v>
      </c>
      <c r="C6" s="19">
        <v>35</v>
      </c>
      <c r="D6" s="19" t="s">
        <v>223</v>
      </c>
      <c r="E6" s="29"/>
      <c r="F6" s="43">
        <f t="shared" ref="F6:F33" si="0">IF(D6="Income",B6*C6,"")</f>
        <v>700</v>
      </c>
      <c r="G6" s="42" t="str">
        <f t="shared" ref="G6:G33" si="1">IF(D6="Expenditure",B6*C6,"")</f>
        <v/>
      </c>
    </row>
    <row r="7" spans="1:7">
      <c r="A7" s="28" t="s">
        <v>228</v>
      </c>
      <c r="B7" s="18">
        <v>6</v>
      </c>
      <c r="C7" s="19">
        <v>100</v>
      </c>
      <c r="D7" s="19" t="s">
        <v>223</v>
      </c>
      <c r="E7" s="29"/>
      <c r="F7" s="43">
        <f>IF(D7="Income",B7*C7,"")</f>
        <v>600</v>
      </c>
      <c r="G7" s="42" t="str">
        <f>IF(D7="Expenditure",B7*C7,"")</f>
        <v/>
      </c>
    </row>
    <row r="8" spans="1:7">
      <c r="A8" s="28" t="s">
        <v>229</v>
      </c>
      <c r="B8" s="18">
        <v>20</v>
      </c>
      <c r="C8" s="19">
        <v>25</v>
      </c>
      <c r="D8" s="19" t="s">
        <v>223</v>
      </c>
      <c r="E8" s="29"/>
      <c r="F8" s="43">
        <f>IF(D8="Income",B8*C8,"")</f>
        <v>500</v>
      </c>
      <c r="G8" s="42" t="str">
        <f>IF(D8="Expenditure",B8*C8,"")</f>
        <v/>
      </c>
    </row>
    <row r="9" spans="1:7">
      <c r="A9" s="28" t="s">
        <v>230</v>
      </c>
      <c r="B9" s="18">
        <v>20</v>
      </c>
      <c r="C9" s="19">
        <v>15</v>
      </c>
      <c r="D9" s="19" t="s">
        <v>223</v>
      </c>
      <c r="E9" s="29"/>
      <c r="F9" s="43">
        <f t="shared" si="0"/>
        <v>300</v>
      </c>
      <c r="G9" s="42" t="str">
        <f t="shared" si="1"/>
        <v/>
      </c>
    </row>
    <row r="10" spans="1:7">
      <c r="A10" s="28" t="s">
        <v>231</v>
      </c>
      <c r="B10" s="18">
        <v>12</v>
      </c>
      <c r="C10" s="19">
        <v>22</v>
      </c>
      <c r="D10" s="19" t="s">
        <v>223</v>
      </c>
      <c r="E10" s="29" t="s">
        <v>232</v>
      </c>
      <c r="F10" s="43">
        <f>IF(D10="Income",B10*C10,"")</f>
        <v>264</v>
      </c>
      <c r="G10" s="42" t="str">
        <f>IF(D10="Expenditure",B10*C10,"")</f>
        <v/>
      </c>
    </row>
    <row r="11" spans="1:7">
      <c r="A11" s="28" t="s">
        <v>233</v>
      </c>
      <c r="B11" s="18">
        <v>5</v>
      </c>
      <c r="C11" s="19">
        <v>35</v>
      </c>
      <c r="D11" s="19" t="s">
        <v>223</v>
      </c>
      <c r="E11" s="29"/>
      <c r="F11" s="43">
        <f>IF(D11="Income",B11*C11,"")</f>
        <v>175</v>
      </c>
      <c r="G11" s="42" t="str">
        <f>IF(D11="Expenditure",B11*C11,"")</f>
        <v/>
      </c>
    </row>
    <row r="12" spans="1:7">
      <c r="A12" s="28" t="s">
        <v>234</v>
      </c>
      <c r="B12" s="18">
        <v>60</v>
      </c>
      <c r="C12" s="19">
        <v>0</v>
      </c>
      <c r="D12" s="76" t="s">
        <v>223</v>
      </c>
      <c r="E12" s="29"/>
      <c r="F12" s="43">
        <f>IF(D12="Income",B12*C12,"")</f>
        <v>0</v>
      </c>
      <c r="G12" s="42" t="str">
        <f>IF(D12="Expenditure",B12*C12,"")</f>
        <v/>
      </c>
    </row>
    <row r="13" spans="1:7">
      <c r="A13" s="28" t="s">
        <v>235</v>
      </c>
      <c r="B13" s="50">
        <v>25</v>
      </c>
      <c r="C13" s="1">
        <v>75</v>
      </c>
      <c r="D13" s="19" t="s">
        <v>55</v>
      </c>
      <c r="F13" s="43" t="str">
        <f>IF(D13="Income",B13*C13,"")</f>
        <v/>
      </c>
      <c r="G13" s="42">
        <f>IF(D13="Expenditure",B13*C13,"")</f>
        <v>1875</v>
      </c>
    </row>
    <row r="14" spans="1:7">
      <c r="A14" s="28" t="s">
        <v>236</v>
      </c>
      <c r="B14" s="18">
        <v>1</v>
      </c>
      <c r="C14" s="19">
        <v>1200</v>
      </c>
      <c r="D14" s="19" t="s">
        <v>55</v>
      </c>
      <c r="E14" s="29" t="s">
        <v>237</v>
      </c>
      <c r="F14" s="43" t="str">
        <f>IF(D14="Income",B14*C14,"")</f>
        <v/>
      </c>
      <c r="G14" s="42">
        <f>IF(D14="Expenditure",B14*C14,"")</f>
        <v>1200</v>
      </c>
    </row>
    <row r="15" spans="1:7">
      <c r="A15" s="28" t="s">
        <v>238</v>
      </c>
      <c r="B15" s="18">
        <v>1</v>
      </c>
      <c r="C15" s="19">
        <v>1000</v>
      </c>
      <c r="D15" s="19" t="s">
        <v>55</v>
      </c>
      <c r="E15" s="29"/>
      <c r="F15" s="43" t="str">
        <f>IF(D15="Income",B15*C15,"")</f>
        <v/>
      </c>
      <c r="G15" s="42">
        <f>IF(D15="Expenditure",B15*C15,"")</f>
        <v>1000</v>
      </c>
    </row>
    <row r="16" spans="1:7">
      <c r="A16" s="28" t="s">
        <v>239</v>
      </c>
      <c r="B16" s="18">
        <v>6</v>
      </c>
      <c r="C16" s="19">
        <v>150</v>
      </c>
      <c r="D16" s="19" t="s">
        <v>55</v>
      </c>
      <c r="E16" s="29"/>
      <c r="F16" s="43" t="str">
        <f>IF(D16="Income",B16*C16,"")</f>
        <v/>
      </c>
      <c r="G16" s="42">
        <f>IF(D16="Expenditure",B16*C16,"")</f>
        <v>900</v>
      </c>
    </row>
    <row r="17" spans="1:7">
      <c r="A17" s="28" t="s">
        <v>240</v>
      </c>
      <c r="B17" s="18">
        <v>15</v>
      </c>
      <c r="C17" s="19">
        <v>55</v>
      </c>
      <c r="D17" s="19" t="s">
        <v>55</v>
      </c>
      <c r="E17" s="29" t="s">
        <v>241</v>
      </c>
      <c r="F17" s="43" t="str">
        <f>IF(D17="Income",B17*C17,"")</f>
        <v/>
      </c>
      <c r="G17" s="42">
        <f>IF(D17="Expenditure",B17*C17,"")</f>
        <v>825</v>
      </c>
    </row>
    <row r="18" spans="1:7">
      <c r="A18" s="28" t="s">
        <v>242</v>
      </c>
      <c r="B18" s="18">
        <v>1</v>
      </c>
      <c r="C18" s="19">
        <v>800</v>
      </c>
      <c r="D18" s="19" t="s">
        <v>55</v>
      </c>
      <c r="E18" s="29"/>
      <c r="F18" s="43" t="str">
        <f>IF(D18="Income",B18*C18,"")</f>
        <v/>
      </c>
      <c r="G18" s="42">
        <f>IF(D18="Expenditure",B18*C18,"")</f>
        <v>800</v>
      </c>
    </row>
    <row r="19" spans="1:7">
      <c r="A19" s="28" t="s">
        <v>243</v>
      </c>
      <c r="B19" s="18">
        <v>20</v>
      </c>
      <c r="C19" s="19">
        <v>38.5</v>
      </c>
      <c r="D19" s="19" t="s">
        <v>55</v>
      </c>
      <c r="E19" s="29" t="s">
        <v>241</v>
      </c>
      <c r="F19" s="43" t="str">
        <f>IF(D19="Income",B19*C19,"")</f>
        <v/>
      </c>
      <c r="G19" s="42">
        <f>IF(D19="Expenditure",B19*C19,"")</f>
        <v>770</v>
      </c>
    </row>
    <row r="20" spans="1:7">
      <c r="A20" s="28" t="s">
        <v>244</v>
      </c>
      <c r="B20" s="18">
        <v>3</v>
      </c>
      <c r="C20" s="19">
        <v>200</v>
      </c>
      <c r="D20" s="19" t="s">
        <v>55</v>
      </c>
      <c r="E20" s="29"/>
      <c r="F20" s="43" t="str">
        <f>IF(D20="Income",B20*C20,"")</f>
        <v/>
      </c>
      <c r="G20" s="42">
        <f>IF(D20="Expenditure",B20*C20,"")</f>
        <v>600</v>
      </c>
    </row>
    <row r="21" spans="1:7">
      <c r="A21" s="28" t="s">
        <v>245</v>
      </c>
      <c r="B21" s="18">
        <v>1</v>
      </c>
      <c r="C21" s="19">
        <v>521</v>
      </c>
      <c r="D21" s="19" t="s">
        <v>55</v>
      </c>
      <c r="E21" s="29" t="s">
        <v>246</v>
      </c>
      <c r="F21" s="43" t="str">
        <f>IF(D21="Income",B21*C21,"")</f>
        <v/>
      </c>
      <c r="G21" s="42">
        <f>IF(D21="Expenditure",B21*C21,"")</f>
        <v>521</v>
      </c>
    </row>
    <row r="22" spans="1:7">
      <c r="A22" s="28" t="s">
        <v>247</v>
      </c>
      <c r="B22" s="18">
        <v>1</v>
      </c>
      <c r="C22" s="19">
        <v>500</v>
      </c>
      <c r="D22" s="19" t="s">
        <v>55</v>
      </c>
      <c r="E22" s="29"/>
      <c r="F22" s="43" t="str">
        <f>IF(D22="Income",B22*C22,"")</f>
        <v/>
      </c>
      <c r="G22" s="42">
        <f>IF(D22="Expenditure",B22*C22,"")</f>
        <v>500</v>
      </c>
    </row>
    <row r="23" spans="1:7">
      <c r="A23" s="28" t="s">
        <v>248</v>
      </c>
      <c r="B23" s="18">
        <v>6</v>
      </c>
      <c r="C23" s="19">
        <v>80</v>
      </c>
      <c r="D23" s="19" t="s">
        <v>55</v>
      </c>
      <c r="E23" s="29"/>
      <c r="F23" s="43" t="str">
        <f>IF(D23="Income",B23*C23,"")</f>
        <v/>
      </c>
      <c r="G23" s="42">
        <f>IF(D23="Expenditure",B23*C23,"")</f>
        <v>480</v>
      </c>
    </row>
    <row r="24" spans="1:7">
      <c r="A24" s="28" t="s">
        <v>249</v>
      </c>
      <c r="B24" s="18">
        <v>30</v>
      </c>
      <c r="C24" s="19">
        <v>14</v>
      </c>
      <c r="D24" s="19" t="s">
        <v>55</v>
      </c>
      <c r="E24" s="29"/>
      <c r="F24" s="43" t="str">
        <f>IF(D24="Income",B24*C24,"")</f>
        <v/>
      </c>
      <c r="G24" s="42">
        <f>IF(D24="Expenditure",B24*C24,"")</f>
        <v>420</v>
      </c>
    </row>
    <row r="25" spans="1:7">
      <c r="A25" s="28" t="s">
        <v>250</v>
      </c>
      <c r="B25" s="18">
        <v>1</v>
      </c>
      <c r="C25" s="19">
        <v>400</v>
      </c>
      <c r="D25" s="19" t="s">
        <v>55</v>
      </c>
      <c r="E25" s="29"/>
      <c r="F25" s="43" t="str">
        <f>IF(D25="Income",B25*C25,"")</f>
        <v/>
      </c>
      <c r="G25" s="42">
        <f>IF(D25="Expenditure",B25*C25,"")</f>
        <v>400</v>
      </c>
    </row>
    <row r="26" spans="1:7">
      <c r="A26" s="28" t="s">
        <v>251</v>
      </c>
      <c r="B26" s="18">
        <v>100</v>
      </c>
      <c r="C26" s="19">
        <v>4</v>
      </c>
      <c r="D26" s="19" t="s">
        <v>55</v>
      </c>
      <c r="E26" s="29"/>
      <c r="F26" s="43" t="str">
        <f t="shared" si="0"/>
        <v/>
      </c>
      <c r="G26" s="42">
        <f t="shared" si="1"/>
        <v>400</v>
      </c>
    </row>
    <row r="27" spans="1:7">
      <c r="A27" s="28" t="s">
        <v>252</v>
      </c>
      <c r="B27" s="18">
        <v>1</v>
      </c>
      <c r="C27" s="19">
        <v>370</v>
      </c>
      <c r="D27" s="19" t="s">
        <v>55</v>
      </c>
      <c r="E27" s="29"/>
      <c r="F27" s="43" t="str">
        <f>IF(D27="Income",B27*C27,"")</f>
        <v/>
      </c>
      <c r="G27" s="42">
        <f>IF(D27="Expenditure",B27*C27,"")</f>
        <v>370</v>
      </c>
    </row>
    <row r="28" spans="1:7">
      <c r="A28" s="28" t="s">
        <v>253</v>
      </c>
      <c r="B28" s="18">
        <v>1</v>
      </c>
      <c r="C28" s="19">
        <v>350</v>
      </c>
      <c r="D28" s="19" t="s">
        <v>55</v>
      </c>
      <c r="E28" s="29" t="s">
        <v>254</v>
      </c>
      <c r="F28" s="43" t="str">
        <f t="shared" si="0"/>
        <v/>
      </c>
      <c r="G28" s="42">
        <f t="shared" si="1"/>
        <v>350</v>
      </c>
    </row>
    <row r="29" spans="1:7">
      <c r="A29" s="28" t="s">
        <v>255</v>
      </c>
      <c r="B29" s="18">
        <v>10</v>
      </c>
      <c r="C29" s="19">
        <v>35</v>
      </c>
      <c r="D29" s="77" t="s">
        <v>55</v>
      </c>
      <c r="E29" s="29"/>
      <c r="F29" s="43" t="str">
        <f t="shared" si="0"/>
        <v/>
      </c>
      <c r="G29" s="42">
        <f t="shared" si="1"/>
        <v>350</v>
      </c>
    </row>
    <row r="30" spans="1:7">
      <c r="A30" s="28" t="s">
        <v>256</v>
      </c>
      <c r="B30" s="18">
        <v>1</v>
      </c>
      <c r="C30" s="19">
        <v>311</v>
      </c>
      <c r="D30" s="19" t="s">
        <v>55</v>
      </c>
      <c r="E30" s="29"/>
      <c r="F30" s="43" t="str">
        <f>IF(D30="Income",B30*C30,"")</f>
        <v/>
      </c>
      <c r="G30" s="42">
        <f>IF(D30="Expenditure",B30*C30,"")</f>
        <v>311</v>
      </c>
    </row>
    <row r="31" spans="1:7">
      <c r="A31" s="28" t="s">
        <v>257</v>
      </c>
      <c r="B31" s="18">
        <v>5</v>
      </c>
      <c r="C31" s="19">
        <v>35</v>
      </c>
      <c r="D31" s="19" t="s">
        <v>55</v>
      </c>
      <c r="E31" s="29"/>
      <c r="F31" s="43" t="str">
        <f t="shared" si="0"/>
        <v/>
      </c>
      <c r="G31" s="42">
        <f t="shared" si="1"/>
        <v>175</v>
      </c>
    </row>
    <row r="32" spans="1:7">
      <c r="A32" s="28" t="s">
        <v>258</v>
      </c>
      <c r="B32" s="18">
        <v>1</v>
      </c>
      <c r="C32" s="19">
        <v>100</v>
      </c>
      <c r="D32" s="19" t="s">
        <v>55</v>
      </c>
      <c r="E32" s="29"/>
      <c r="F32" s="43" t="str">
        <f>IF(D32="Income",B32*C32,"")</f>
        <v/>
      </c>
      <c r="G32" s="42">
        <f>IF(D32="Expenditure",B32*C32,"")</f>
        <v>100</v>
      </c>
    </row>
    <row r="33" spans="1:7">
      <c r="A33" s="28" t="s">
        <v>259</v>
      </c>
      <c r="B33" s="18">
        <v>1</v>
      </c>
      <c r="C33" s="19">
        <v>88</v>
      </c>
      <c r="D33" s="19" t="s">
        <v>55</v>
      </c>
      <c r="E33" s="29"/>
      <c r="F33" s="43" t="str">
        <f t="shared" si="0"/>
        <v/>
      </c>
      <c r="G33" s="42">
        <f t="shared" si="1"/>
        <v>88</v>
      </c>
    </row>
    <row r="34" spans="1:7" ht="5.25" customHeight="1" thickBot="1">
      <c r="A34" s="30"/>
      <c r="B34" s="31"/>
      <c r="C34" s="32"/>
      <c r="D34" s="32"/>
      <c r="E34" s="33" t="s">
        <v>260</v>
      </c>
      <c r="F34" s="22"/>
      <c r="G34" s="23"/>
    </row>
    <row r="35" spans="1:7" ht="19.5" thickBot="1">
      <c r="A35" s="34"/>
      <c r="B35" s="35"/>
      <c r="C35" s="36"/>
      <c r="D35" s="36"/>
      <c r="E35" s="37" t="s">
        <v>261</v>
      </c>
      <c r="F35" s="44">
        <f>SUM(F2:F33)</f>
        <v>11639</v>
      </c>
      <c r="G35" s="45">
        <f>SUM(G2:G33)</f>
        <v>12435</v>
      </c>
    </row>
    <row r="36" spans="1:7" ht="16.5" thickBot="1">
      <c r="A36" s="38"/>
      <c r="B36" s="39"/>
      <c r="C36" s="40"/>
      <c r="D36" s="40"/>
      <c r="E36" s="39" t="s">
        <v>262</v>
      </c>
      <c r="F36" s="96">
        <f>(F35-G35)</f>
        <v>-796</v>
      </c>
      <c r="G36" s="97"/>
    </row>
    <row r="37" spans="1:7" ht="16.5" thickBot="1">
      <c r="A37" s="38"/>
      <c r="B37" s="39"/>
      <c r="C37" s="40"/>
      <c r="D37" s="40"/>
      <c r="E37" s="39" t="s">
        <v>263</v>
      </c>
      <c r="F37" s="94">
        <v>15721.57</v>
      </c>
      <c r="G37" s="95"/>
    </row>
    <row r="38" spans="1:7" ht="16.5" thickBot="1">
      <c r="A38" s="38"/>
      <c r="B38" s="39"/>
      <c r="C38" s="40"/>
      <c r="D38" s="40"/>
      <c r="E38" s="41" t="s">
        <v>264</v>
      </c>
      <c r="F38" s="94">
        <f>SUM(F37+F36)</f>
        <v>14925.57</v>
      </c>
      <c r="G38" s="95"/>
    </row>
  </sheetData>
  <mergeCells count="3">
    <mergeCell ref="F38:G38"/>
    <mergeCell ref="F36:G36"/>
    <mergeCell ref="F37:G37"/>
  </mergeCells>
  <conditionalFormatting sqref="F36:G36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0" ma:contentTypeDescription="Create a new document." ma:contentTypeScope="" ma:versionID="94789d889a8520c3e320efcdb9d045d6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726e7a06dd1dff59f9541bbba2e6cda7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ECA8D-E09B-448E-9772-0A91248D8438}"/>
</file>

<file path=customXml/itemProps2.xml><?xml version="1.0" encoding="utf-8"?>
<ds:datastoreItem xmlns:ds="http://schemas.openxmlformats.org/officeDocument/2006/customXml" ds:itemID="{21382C1B-31CA-4CD1-814D-431D2DADEE55}"/>
</file>

<file path=customXml/itemProps3.xml><?xml version="1.0" encoding="utf-8"?>
<ds:datastoreItem xmlns:ds="http://schemas.openxmlformats.org/officeDocument/2006/customXml" ds:itemID="{EA3C1C5E-4597-4231-94DF-48F4F4AF0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Micenko</cp:lastModifiedBy>
  <cp:revision/>
  <dcterms:created xsi:type="dcterms:W3CDTF">2006-09-16T00:00:00Z</dcterms:created>
  <dcterms:modified xsi:type="dcterms:W3CDTF">2019-12-10T01:47:18Z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  <property fmtid="{D5CDD505-2E9C-101B-9397-08002B2CF9AE}" pid="3" name="AuthorIds_UIVersion_46592">
    <vt:lpwstr>15</vt:lpwstr>
  </property>
</Properties>
</file>