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6"/>
  <workbookPr filterPrivacy="1" hidePivotFieldList="1" defaultThemeVersion="124226"/>
  <xr:revisionPtr revIDLastSave="1874" documentId="13_ncr:1_{620C3553-B77F-405D-B9AC-99F3EDC26767}" xr6:coauthVersionLast="46" xr6:coauthVersionMax="46" xr10:uidLastSave="{CE2CD6B2-29E4-4145-8944-15AEA3635A0D}"/>
  <bookViews>
    <workbookView xWindow="-110" yWindow="-110" windowWidth="38620" windowHeight="21220" firstSheet="2" activeTab="2" xr2:uid="{00000000-000D-0000-FFFF-FFFF00000000}"/>
  </bookViews>
  <sheets>
    <sheet name="Summary" sheetId="6" r:id="rId1"/>
    <sheet name="BOQ Cheque" sheetId="1" r:id="rId2"/>
    <sheet name="Cash" sheetId="2" r:id="rId3"/>
    <sheet name="BOQ Savings" sheetId="7" r:id="rId4"/>
    <sheet name="Tables" sheetId="11" r:id="rId5"/>
    <sheet name="Charts" sheetId="12" r:id="rId6"/>
    <sheet name="Budget" sheetId="9" r:id="rId7"/>
  </sheets>
  <definedNames>
    <definedName name="_xlnm._FilterDatabase" localSheetId="1" hidden="1">'BOQ Cheque'!$A$1:$H$248</definedName>
  </definedNames>
  <calcPr calcId="191028" calcCompleted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E19" i="2"/>
  <c r="D19" i="2"/>
  <c r="H12" i="7"/>
  <c r="E12" i="7"/>
  <c r="D12" i="7"/>
  <c r="E57" i="1"/>
  <c r="D57" i="1"/>
  <c r="E56" i="1"/>
  <c r="D56" i="1"/>
  <c r="D55" i="1"/>
  <c r="E55" i="1"/>
  <c r="E54" i="1"/>
  <c r="D54" i="1"/>
  <c r="H53" i="1"/>
  <c r="H54" i="1"/>
  <c r="H55" i="1"/>
  <c r="H56" i="1"/>
  <c r="H57" i="1"/>
  <c r="E53" i="1"/>
  <c r="D53" i="1"/>
  <c r="H18" i="2"/>
  <c r="E18" i="2"/>
  <c r="D18" i="2"/>
  <c r="H16" i="2"/>
  <c r="H17" i="2"/>
  <c r="E17" i="2"/>
  <c r="E16" i="2"/>
  <c r="D17" i="2"/>
  <c r="D16" i="2"/>
  <c r="H52" i="1"/>
  <c r="E52" i="1"/>
  <c r="D52" i="1"/>
  <c r="H11" i="7"/>
  <c r="E11" i="7"/>
  <c r="D11" i="7"/>
  <c r="E51" i="1"/>
  <c r="D51" i="1"/>
  <c r="E50" i="1"/>
  <c r="D50" i="1"/>
  <c r="H49" i="1"/>
  <c r="H50" i="1"/>
  <c r="H51" i="1"/>
  <c r="E49" i="1"/>
  <c r="D49" i="1"/>
  <c r="D48" i="1"/>
  <c r="E48" i="1"/>
  <c r="H48" i="1"/>
  <c r="H10" i="7"/>
  <c r="E10" i="7"/>
  <c r="D10" i="7"/>
  <c r="E46" i="1"/>
  <c r="D46" i="1"/>
  <c r="H46" i="1"/>
  <c r="H47" i="1"/>
  <c r="E47" i="1"/>
  <c r="D47" i="1"/>
  <c r="E15" i="2"/>
  <c r="D15" i="2"/>
  <c r="H14" i="2"/>
  <c r="H15" i="2"/>
  <c r="E14" i="2"/>
  <c r="D14" i="2"/>
  <c r="E13" i="2"/>
  <c r="D13" i="2"/>
  <c r="H13" i="2"/>
  <c r="H9" i="7"/>
  <c r="E9" i="7"/>
  <c r="D9" i="7"/>
  <c r="E45" i="1"/>
  <c r="D45" i="1"/>
  <c r="E44" i="1"/>
  <c r="D44" i="1"/>
  <c r="H42" i="1"/>
  <c r="H43" i="1"/>
  <c r="H44" i="1"/>
  <c r="H45" i="1"/>
  <c r="E42" i="1"/>
  <c r="D42" i="1"/>
  <c r="E43" i="1"/>
  <c r="D43" i="1"/>
  <c r="H41" i="1"/>
  <c r="E41" i="1"/>
  <c r="D41" i="1"/>
  <c r="F41" i="1"/>
  <c r="F12" i="2"/>
  <c r="H12" i="2"/>
  <c r="E12" i="2"/>
  <c r="D12" i="2"/>
  <c r="H11" i="2"/>
  <c r="E11" i="2"/>
  <c r="D11" i="2"/>
  <c r="H10" i="2"/>
  <c r="E10" i="2"/>
  <c r="D10" i="2"/>
  <c r="E9" i="2"/>
  <c r="H9" i="2"/>
  <c r="D9" i="2"/>
  <c r="H40" i="1"/>
  <c r="E40" i="1"/>
  <c r="D40" i="1"/>
  <c r="E39" i="1"/>
  <c r="D39" i="1"/>
  <c r="E38" i="1"/>
  <c r="D38" i="1"/>
  <c r="E37" i="1"/>
  <c r="D37" i="1"/>
  <c r="H36" i="1"/>
  <c r="H37" i="1"/>
  <c r="H38" i="1"/>
  <c r="H39" i="1"/>
  <c r="E36" i="1"/>
  <c r="D36" i="1"/>
  <c r="H8" i="7" l="1"/>
  <c r="E8" i="7"/>
  <c r="D8" i="7"/>
  <c r="H35" i="1"/>
  <c r="E35" i="1"/>
  <c r="D35" i="1"/>
  <c r="H34" i="1"/>
  <c r="E34" i="1"/>
  <c r="D34" i="1"/>
  <c r="E8" i="2" l="1"/>
  <c r="D8" i="2"/>
  <c r="H8" i="2"/>
  <c r="H7" i="2" l="1"/>
  <c r="E7" i="2"/>
  <c r="D7" i="2"/>
  <c r="E33" i="1" l="1"/>
  <c r="D33" i="1"/>
  <c r="H32" i="1"/>
  <c r="H33" i="1"/>
  <c r="E32" i="1"/>
  <c r="D32" i="1"/>
  <c r="H31" i="1" l="1"/>
  <c r="E31" i="1"/>
  <c r="D31" i="1"/>
  <c r="E30" i="1" l="1"/>
  <c r="D30" i="1"/>
  <c r="E29" i="1"/>
  <c r="D29" i="1"/>
  <c r="E28" i="1"/>
  <c r="D28" i="1"/>
  <c r="E27" i="1"/>
  <c r="D27" i="1"/>
  <c r="E7" i="7"/>
  <c r="D7" i="7"/>
  <c r="H6" i="7"/>
  <c r="H7" i="7"/>
  <c r="F6" i="7"/>
  <c r="E6" i="7"/>
  <c r="D6" i="7"/>
  <c r="H26" i="1"/>
  <c r="H27" i="1"/>
  <c r="H28" i="1"/>
  <c r="H29" i="1"/>
  <c r="H30" i="1"/>
  <c r="E26" i="1"/>
  <c r="D26" i="1"/>
  <c r="H25" i="1" l="1"/>
  <c r="E25" i="1"/>
  <c r="D25" i="1"/>
  <c r="E21" i="1" l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E13" i="1"/>
  <c r="D13" i="1"/>
  <c r="M11" i="1"/>
  <c r="M12" i="1"/>
  <c r="M13" i="1"/>
  <c r="L11" i="1"/>
  <c r="L12" i="1"/>
  <c r="L13" i="1"/>
  <c r="L36" i="1"/>
  <c r="E24" i="1"/>
  <c r="D24" i="1"/>
  <c r="E23" i="1"/>
  <c r="D23" i="1"/>
  <c r="E22" i="1"/>
  <c r="D22" i="1"/>
  <c r="E6" i="2"/>
  <c r="H6" i="2"/>
  <c r="D6" i="2"/>
  <c r="H5" i="2" l="1"/>
  <c r="E5" i="2"/>
  <c r="D5" i="2"/>
  <c r="E12" i="1" l="1"/>
  <c r="D12" i="1"/>
  <c r="E11" i="1"/>
  <c r="D11" i="1"/>
  <c r="E10" i="1"/>
  <c r="D10" i="1"/>
  <c r="E9" i="1"/>
  <c r="D9" i="1"/>
  <c r="F8" i="1"/>
  <c r="F4" i="2"/>
  <c r="H4" i="2"/>
  <c r="E4" i="2"/>
  <c r="D4" i="2"/>
  <c r="E8" i="1"/>
  <c r="D8" i="1"/>
  <c r="H5" i="7"/>
  <c r="E5" i="7"/>
  <c r="D5" i="7"/>
  <c r="F2" i="9" l="1"/>
  <c r="G2" i="9"/>
  <c r="F3" i="9"/>
  <c r="G3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21" i="9"/>
  <c r="G21" i="9"/>
  <c r="G40" i="9"/>
  <c r="F40" i="9"/>
  <c r="G39" i="9"/>
  <c r="F39" i="9"/>
  <c r="G38" i="9"/>
  <c r="F38" i="9"/>
  <c r="G36" i="9"/>
  <c r="F36" i="9"/>
  <c r="G37" i="9"/>
  <c r="F37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G24" i="9"/>
  <c r="F24" i="9"/>
  <c r="G23" i="9"/>
  <c r="F23" i="9"/>
  <c r="G22" i="9"/>
  <c r="F22" i="9"/>
  <c r="G20" i="9"/>
  <c r="F20" i="9"/>
  <c r="G19" i="9"/>
  <c r="F19" i="9"/>
  <c r="G18" i="9"/>
  <c r="F18" i="9"/>
  <c r="G17" i="9"/>
  <c r="F17" i="9"/>
  <c r="H2" i="2" l="1"/>
  <c r="E3" i="2"/>
  <c r="H4" i="7"/>
  <c r="E4" i="7"/>
  <c r="D4" i="7"/>
  <c r="H3" i="7"/>
  <c r="E3" i="7"/>
  <c r="D3" i="7"/>
  <c r="E7" i="1"/>
  <c r="D7" i="1"/>
  <c r="E6" i="1"/>
  <c r="D6" i="1"/>
  <c r="E5" i="1"/>
  <c r="D5" i="1"/>
  <c r="E4" i="1"/>
  <c r="E3" i="1"/>
  <c r="D4" i="1"/>
  <c r="D3" i="1"/>
  <c r="I28" i="6" l="1"/>
  <c r="I29" i="6"/>
  <c r="I30" i="6"/>
  <c r="I31" i="6"/>
  <c r="H3" i="2"/>
  <c r="D3" i="2"/>
  <c r="L15" i="7" l="1"/>
  <c r="M15" i="7"/>
  <c r="L16" i="7"/>
  <c r="M16" i="7"/>
  <c r="L114" i="1"/>
  <c r="M114" i="1"/>
  <c r="L115" i="1"/>
  <c r="M115" i="1"/>
  <c r="L116" i="1"/>
  <c r="M116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3" i="7" l="1"/>
  <c r="M13" i="7"/>
  <c r="L14" i="7"/>
  <c r="M14" i="7"/>
  <c r="L107" i="1"/>
  <c r="M107" i="1"/>
  <c r="L105" i="1"/>
  <c r="M105" i="1"/>
  <c r="L106" i="1"/>
  <c r="M106" i="1"/>
  <c r="L103" i="1" l="1"/>
  <c r="M103" i="1"/>
  <c r="L104" i="1"/>
  <c r="M104" i="1"/>
  <c r="L12" i="7" l="1"/>
  <c r="M12" i="7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34" i="2" l="1"/>
  <c r="M34" i="2"/>
  <c r="L33" i="2"/>
  <c r="M33" i="2"/>
  <c r="L91" i="1" l="1"/>
  <c r="M91" i="1"/>
  <c r="L92" i="1"/>
  <c r="M92" i="1"/>
  <c r="L93" i="1"/>
  <c r="M93" i="1"/>
  <c r="L94" i="1"/>
  <c r="M94" i="1"/>
  <c r="L95" i="1"/>
  <c r="M95" i="1"/>
  <c r="L31" i="2"/>
  <c r="M31" i="2"/>
  <c r="L32" i="2"/>
  <c r="M32" i="2"/>
  <c r="L89" i="1" l="1"/>
  <c r="M89" i="1"/>
  <c r="L90" i="1"/>
  <c r="M90" i="1"/>
  <c r="L82" i="1" l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11" i="7"/>
  <c r="M11" i="7"/>
  <c r="L30" i="2" l="1"/>
  <c r="M30" i="2"/>
  <c r="L27" i="2"/>
  <c r="M27" i="2"/>
  <c r="L28" i="2"/>
  <c r="M28" i="2"/>
  <c r="L29" i="2"/>
  <c r="M29" i="2"/>
  <c r="L78" i="1" l="1"/>
  <c r="M78" i="1"/>
  <c r="L79" i="1"/>
  <c r="M79" i="1"/>
  <c r="L80" i="1"/>
  <c r="M80" i="1"/>
  <c r="L81" i="1"/>
  <c r="M81" i="1"/>
  <c r="L70" i="1" l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10" i="7"/>
  <c r="M10" i="7"/>
  <c r="L26" i="2" l="1"/>
  <c r="M26" i="2"/>
  <c r="L23" i="2" l="1"/>
  <c r="M23" i="2"/>
  <c r="L24" i="2"/>
  <c r="M24" i="2"/>
  <c r="L25" i="2"/>
  <c r="M25" i="2"/>
  <c r="L22" i="2"/>
  <c r="M22" i="2"/>
  <c r="L20" i="2"/>
  <c r="M20" i="2"/>
  <c r="L21" i="2"/>
  <c r="M21" i="2"/>
  <c r="L9" i="7" l="1"/>
  <c r="M9" i="7"/>
  <c r="L69" i="1"/>
  <c r="M69" i="1"/>
  <c r="L68" i="1"/>
  <c r="M68" i="1"/>
  <c r="L16" i="2" l="1"/>
  <c r="M16" i="2"/>
  <c r="L17" i="2"/>
  <c r="M17" i="2"/>
  <c r="L18" i="2"/>
  <c r="M18" i="2"/>
  <c r="L19" i="2"/>
  <c r="M19" i="2"/>
  <c r="L67" i="1"/>
  <c r="M67" i="1"/>
  <c r="L63" i="1"/>
  <c r="M63" i="1"/>
  <c r="L64" i="1"/>
  <c r="M64" i="1"/>
  <c r="L65" i="1"/>
  <c r="M65" i="1"/>
  <c r="L66" i="1"/>
  <c r="M66" i="1"/>
  <c r="L15" i="2" l="1"/>
  <c r="M15" i="2"/>
  <c r="L62" i="1" l="1"/>
  <c r="M62" i="1"/>
  <c r="L61" i="1"/>
  <c r="M61" i="1"/>
  <c r="L8" i="7" l="1"/>
  <c r="M8" i="7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44" i="1" l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8" i="2" l="1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5" i="2"/>
  <c r="M5" i="2"/>
  <c r="L6" i="2"/>
  <c r="M6" i="2"/>
  <c r="L7" i="2"/>
  <c r="M7" i="2"/>
  <c r="L4" i="2"/>
  <c r="M4" i="2"/>
  <c r="L7" i="7" l="1"/>
  <c r="M7" i="7"/>
  <c r="L39" i="1"/>
  <c r="M39" i="1"/>
  <c r="L40" i="1"/>
  <c r="M40" i="1"/>
  <c r="L41" i="1"/>
  <c r="M41" i="1"/>
  <c r="L42" i="1"/>
  <c r="M42" i="1"/>
  <c r="L43" i="1"/>
  <c r="M43" i="1"/>
  <c r="M3" i="2" l="1"/>
  <c r="L3" i="2"/>
  <c r="L6" i="7" l="1"/>
  <c r="M6" i="7"/>
  <c r="M36" i="1"/>
  <c r="M37" i="1"/>
  <c r="M38" i="1"/>
  <c r="L37" i="1"/>
  <c r="L38" i="1"/>
  <c r="L7" i="1" l="1"/>
  <c r="M7" i="1"/>
  <c r="L8" i="1"/>
  <c r="M8" i="1"/>
  <c r="L9" i="1"/>
  <c r="M9" i="1"/>
  <c r="L10" i="1"/>
  <c r="M10" i="1"/>
  <c r="L5" i="7"/>
  <c r="M5" i="7"/>
  <c r="M4" i="7" l="1"/>
  <c r="L4" i="7"/>
  <c r="M5" i="1"/>
  <c r="M6" i="1"/>
  <c r="H2" i="11" s="1"/>
  <c r="L5" i="1"/>
  <c r="L6" i="1"/>
  <c r="M2" i="2" l="1"/>
  <c r="L2" i="2"/>
  <c r="M3" i="7"/>
  <c r="L3" i="7"/>
  <c r="M3" i="1"/>
  <c r="M4" i="1"/>
  <c r="L3" i="1"/>
  <c r="L4" i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B5" i="6"/>
  <c r="G3" i="11"/>
  <c r="I26" i="6"/>
  <c r="I24" i="6"/>
  <c r="F1" i="6"/>
  <c r="I14" i="6"/>
  <c r="I15" i="6"/>
  <c r="I17" i="6"/>
  <c r="I18" i="6"/>
  <c r="I19" i="6"/>
  <c r="I20" i="6"/>
  <c r="I21" i="6"/>
  <c r="I22" i="6"/>
  <c r="C4" i="11"/>
  <c r="H313" i="1"/>
  <c r="H314" i="1"/>
  <c r="H315" i="1"/>
  <c r="H316" i="1"/>
  <c r="H317" i="1"/>
  <c r="H318" i="1"/>
  <c r="H319" i="1"/>
  <c r="H320" i="1"/>
  <c r="H321" i="1"/>
  <c r="H322" i="1"/>
  <c r="H2" i="7"/>
  <c r="H306" i="7"/>
  <c r="H307" i="7"/>
  <c r="H308" i="7"/>
  <c r="H309" i="7"/>
  <c r="H310" i="7"/>
  <c r="H311" i="7"/>
  <c r="H312" i="7"/>
  <c r="H313" i="7"/>
  <c r="H314" i="7"/>
  <c r="H315" i="7"/>
  <c r="B6" i="6"/>
  <c r="B15" i="6" s="1"/>
  <c r="B13" i="6"/>
  <c r="F42" i="9" l="1"/>
  <c r="G42" i="9"/>
  <c r="F43" i="9"/>
  <c r="F45" i="9" s="1"/>
  <c r="J1" i="7"/>
  <c r="I13" i="6"/>
  <c r="I16" i="6"/>
  <c r="I27" i="6"/>
  <c r="F18" i="6"/>
  <c r="H13" i="11"/>
  <c r="G8" i="11"/>
  <c r="H5" i="11"/>
  <c r="C9" i="11"/>
  <c r="B4" i="11"/>
  <c r="D4" i="11" s="1"/>
  <c r="F17" i="6"/>
  <c r="H17" i="11"/>
  <c r="G13" i="11"/>
  <c r="H10" i="11"/>
  <c r="G5" i="11"/>
  <c r="B9" i="11"/>
  <c r="C6" i="11"/>
  <c r="F16" i="6"/>
  <c r="G17" i="11"/>
  <c r="H15" i="11"/>
  <c r="G10" i="11"/>
  <c r="H7" i="11"/>
  <c r="C11" i="11"/>
  <c r="B6" i="11"/>
  <c r="C3" i="11"/>
  <c r="B7" i="6"/>
  <c r="B14" i="6" s="1"/>
  <c r="I25" i="6"/>
  <c r="F23" i="6"/>
  <c r="F15" i="6"/>
  <c r="G15" i="11"/>
  <c r="H12" i="11"/>
  <c r="G7" i="11"/>
  <c r="H4" i="11"/>
  <c r="B11" i="11"/>
  <c r="C8" i="11"/>
  <c r="B3" i="11"/>
  <c r="F22" i="6"/>
  <c r="F14" i="6"/>
  <c r="G2" i="11"/>
  <c r="H16" i="11"/>
  <c r="G12" i="11"/>
  <c r="H9" i="11"/>
  <c r="G4" i="11"/>
  <c r="B8" i="11"/>
  <c r="C5" i="11"/>
  <c r="I23" i="6"/>
  <c r="F21" i="6"/>
  <c r="F13" i="6"/>
  <c r="G16" i="11"/>
  <c r="H14" i="11"/>
  <c r="G9" i="11"/>
  <c r="H6" i="11"/>
  <c r="C10" i="11"/>
  <c r="B5" i="11"/>
  <c r="C2" i="11"/>
  <c r="F20" i="6"/>
  <c r="H18" i="11"/>
  <c r="G14" i="11"/>
  <c r="H11" i="11"/>
  <c r="G6" i="11"/>
  <c r="H3" i="11"/>
  <c r="I3" i="11" s="1"/>
  <c r="B10" i="11"/>
  <c r="C7" i="11"/>
  <c r="B2" i="11"/>
  <c r="F19" i="6"/>
  <c r="G18" i="11"/>
  <c r="G11" i="11"/>
  <c r="H8" i="11"/>
  <c r="B7" i="11"/>
  <c r="M1" i="11" l="1"/>
  <c r="I6" i="11"/>
  <c r="I17" i="11"/>
  <c r="I10" i="11"/>
  <c r="D9" i="11"/>
  <c r="D6" i="11"/>
  <c r="I16" i="11"/>
  <c r="D11" i="11"/>
  <c r="I13" i="11"/>
  <c r="I2" i="11"/>
  <c r="I14" i="11"/>
  <c r="D5" i="11"/>
  <c r="I4" i="11"/>
  <c r="D10" i="11"/>
  <c r="D8" i="11"/>
  <c r="D3" i="11"/>
  <c r="I7" i="11"/>
  <c r="I15" i="11"/>
  <c r="I5" i="11"/>
  <c r="I9" i="11"/>
  <c r="I18" i="11"/>
  <c r="J1" i="1"/>
  <c r="B13" i="11"/>
  <c r="D2" i="11"/>
  <c r="F24" i="6"/>
  <c r="I12" i="11"/>
  <c r="C13" i="11"/>
  <c r="D7" i="11"/>
  <c r="J1" i="2"/>
  <c r="I11" i="11"/>
  <c r="I8" i="11"/>
  <c r="F3" i="6" l="1"/>
  <c r="F2" i="6" s="1"/>
  <c r="B16" i="6" s="1"/>
  <c r="D1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65" authorId="0" shapeId="0" xr:uid="{960FC8A5-0272-4665-B35E-0841B19F24E3}">
      <text>
        <r>
          <rPr>
            <sz val="11"/>
            <color theme="1"/>
            <rFont val="Calibri"/>
            <family val="2"/>
            <scheme val="minor"/>
          </rPr>
          <t>Kirsten Funston
Rhodri Harris
Aidan McCartan
Darryl Sinclair
Connor Whelan</t>
        </r>
      </text>
    </comment>
  </commentList>
</comments>
</file>

<file path=xl/sharedStrings.xml><?xml version="1.0" encoding="utf-8"?>
<sst xmlns="http://schemas.openxmlformats.org/spreadsheetml/2006/main" count="380" uniqueCount="255">
  <si>
    <t>Cheque Account Opening Balance</t>
  </si>
  <si>
    <t>Balance at 1st June 2020</t>
  </si>
  <si>
    <t>Savings Account Opening Balance</t>
  </si>
  <si>
    <t>Changes this FY</t>
  </si>
  <si>
    <t>Cash Opening Balance</t>
  </si>
  <si>
    <t>Total Balance</t>
  </si>
  <si>
    <t>Cheque Account Changes</t>
  </si>
  <si>
    <t>Savings Account Changes</t>
  </si>
  <si>
    <t>Cash Changes</t>
  </si>
  <si>
    <t>Current Balances</t>
  </si>
  <si>
    <t>Categories</t>
  </si>
  <si>
    <t>Events</t>
  </si>
  <si>
    <t>Cheque</t>
  </si>
  <si>
    <t>Interest</t>
  </si>
  <si>
    <t>AGM</t>
  </si>
  <si>
    <t>Cash</t>
  </si>
  <si>
    <t>Raffle</t>
  </si>
  <si>
    <t>Season</t>
  </si>
  <si>
    <t>Savings</t>
  </si>
  <si>
    <t>Venue Hire</t>
  </si>
  <si>
    <t>Preseason seminar social</t>
  </si>
  <si>
    <t>Closing Balance</t>
  </si>
  <si>
    <t>Meeting Expense</t>
  </si>
  <si>
    <t>October general meeting</t>
  </si>
  <si>
    <t>Membership Fee</t>
  </si>
  <si>
    <t>November general meeting</t>
  </si>
  <si>
    <t>Marketing</t>
  </si>
  <si>
    <t>Life members' lunch</t>
  </si>
  <si>
    <t>Merchandise</t>
  </si>
  <si>
    <t>October post-match social</t>
  </si>
  <si>
    <t>Transfer</t>
  </si>
  <si>
    <t>December general meeting</t>
  </si>
  <si>
    <t>Miscellaneous</t>
  </si>
  <si>
    <t>T20</t>
  </si>
  <si>
    <t>Social</t>
  </si>
  <si>
    <t>January post-match social</t>
  </si>
  <si>
    <t>Sponsorship</t>
  </si>
  <si>
    <t>January general meeting</t>
  </si>
  <si>
    <t>Subtotal</t>
  </si>
  <si>
    <t>February general meeting</t>
  </si>
  <si>
    <t>Grand Final breakfast</t>
  </si>
  <si>
    <t>End of season dinner</t>
  </si>
  <si>
    <t>Karen Read</t>
  </si>
  <si>
    <t>Olly Cooley</t>
  </si>
  <si>
    <t>March post-match social</t>
  </si>
  <si>
    <t>Preseason dinner</t>
  </si>
  <si>
    <t>None</t>
  </si>
  <si>
    <t>Date</t>
  </si>
  <si>
    <t>ID</t>
  </si>
  <si>
    <t>Description</t>
  </si>
  <si>
    <t>Category</t>
  </si>
  <si>
    <t>Event</t>
  </si>
  <si>
    <t>Ref</t>
  </si>
  <si>
    <t>Amount</t>
  </si>
  <si>
    <t>Total</t>
  </si>
  <si>
    <t>Revenue</t>
  </si>
  <si>
    <t>Expenditure</t>
  </si>
  <si>
    <t>B1</t>
  </si>
  <si>
    <t>Opening Balance</t>
  </si>
  <si>
    <t>B2</t>
  </si>
  <si>
    <t>B3</t>
  </si>
  <si>
    <t>Membership fee for 2019/2020 - Stephen Farrell</t>
  </si>
  <si>
    <t>B4</t>
  </si>
  <si>
    <t>B5</t>
  </si>
  <si>
    <t>AGM drinks - reimburse Andrew Micenko</t>
  </si>
  <si>
    <t>B6</t>
  </si>
  <si>
    <t>AGM BBQ - reimburse Trent Steenholdt</t>
  </si>
  <si>
    <t>B7</t>
  </si>
  <si>
    <t>Cash deposit</t>
  </si>
  <si>
    <t>B8</t>
  </si>
  <si>
    <t>Preseason dinner - Stephen Farrell</t>
  </si>
  <si>
    <t>B9</t>
  </si>
  <si>
    <t>Life member pins - Sheridan's</t>
  </si>
  <si>
    <t>B10</t>
  </si>
  <si>
    <t>Post-seminar social at Grosvenor - Reimburse Andrew Micenko</t>
  </si>
  <si>
    <t>B11</t>
  </si>
  <si>
    <t>B12</t>
  </si>
  <si>
    <t>Shopify balance proof</t>
  </si>
  <si>
    <t>B13</t>
  </si>
  <si>
    <t>B14</t>
  </si>
  <si>
    <t>Merchandise postage - reimburse Trent Steenholdt</t>
  </si>
  <si>
    <t>B15</t>
  </si>
  <si>
    <t>Merchandise - Daniel Smith</t>
  </si>
  <si>
    <t>B16</t>
  </si>
  <si>
    <t>Merchandise - Shopify</t>
  </si>
  <si>
    <t>B17</t>
  </si>
  <si>
    <t>B18</t>
  </si>
  <si>
    <t>Preseason dinner - Darryl Brown + guest</t>
  </si>
  <si>
    <t>B19</t>
  </si>
  <si>
    <t>Merchandise -  Shopify</t>
  </si>
  <si>
    <t>B20</t>
  </si>
  <si>
    <t>B21</t>
  </si>
  <si>
    <t>Preseason dinner hamper - reimburse Ashlee Gibbons</t>
  </si>
  <si>
    <t>B22</t>
  </si>
  <si>
    <t>Preseason dinner bar tab - reimburse Trent Steenholdt</t>
  </si>
  <si>
    <t>B23</t>
  </si>
  <si>
    <t>Preseason dinner table decorations - reimburse Trent Steenholdt</t>
  </si>
  <si>
    <t>B24</t>
  </si>
  <si>
    <t>B25</t>
  </si>
  <si>
    <t>Transfer from savings</t>
  </si>
  <si>
    <t>B26</t>
  </si>
  <si>
    <t>Preseason dinner - payment to WACA events (invoice 27040)</t>
  </si>
  <si>
    <t>B27</t>
  </si>
  <si>
    <t>Merchandise -  Shopify refund</t>
  </si>
  <si>
    <t>B28</t>
  </si>
  <si>
    <t>B29</t>
  </si>
  <si>
    <t>B30</t>
  </si>
  <si>
    <t>Merchandise - B-Branded (invoice 51694)</t>
  </si>
  <si>
    <t>B31</t>
  </si>
  <si>
    <t>Back to base - reimburse Andrew Micenko</t>
  </si>
  <si>
    <t>B32</t>
  </si>
  <si>
    <t>B33</t>
  </si>
  <si>
    <t>B34</t>
  </si>
  <si>
    <t>B35</t>
  </si>
  <si>
    <t>B36</t>
  </si>
  <si>
    <t>October general meeting bar tab - reimburse Andrew Micenko</t>
  </si>
  <si>
    <t>B37</t>
  </si>
  <si>
    <t>Merchandise postage - reimburse Andrew Micenko</t>
  </si>
  <si>
    <t>B38</t>
  </si>
  <si>
    <t>Venue hire - 10 Perth and Tatts social memberships</t>
  </si>
  <si>
    <t>B39</t>
  </si>
  <si>
    <t>B40</t>
  </si>
  <si>
    <t>B41</t>
  </si>
  <si>
    <t>Bousfields - Life member jackets (invoice 00001898)</t>
  </si>
  <si>
    <t>B42</t>
  </si>
  <si>
    <t>Shirt - Andrew Micenko</t>
  </si>
  <si>
    <t>B43</t>
  </si>
  <si>
    <t>B-Branded - merchandise payment (invoice 52055)</t>
  </si>
  <si>
    <t>B44</t>
  </si>
  <si>
    <t>B45</t>
  </si>
  <si>
    <t>Membership fees - payment from WACA</t>
  </si>
  <si>
    <t>B46</t>
  </si>
  <si>
    <t>B47</t>
  </si>
  <si>
    <t>Sponsorship - Cortana Design</t>
  </si>
  <si>
    <t>B48</t>
  </si>
  <si>
    <t>December general meeting bar tab - reimburse Andrew Micenko</t>
  </si>
  <si>
    <t>B49</t>
  </si>
  <si>
    <t>Membership fee - Sean Ayres</t>
  </si>
  <si>
    <t>B50</t>
  </si>
  <si>
    <t>B51</t>
  </si>
  <si>
    <t>Back to base - reimburse Ahmad Khan</t>
  </si>
  <si>
    <t>B52</t>
  </si>
  <si>
    <t>B53</t>
  </si>
  <si>
    <t>January general meeting bar tab - reimburse Ashlee Gibbons</t>
  </si>
  <si>
    <t>B54</t>
  </si>
  <si>
    <t>February general meeting bar tab - reimburse Andrew Micenko</t>
  </si>
  <si>
    <t>B55</t>
  </si>
  <si>
    <t>Membership fee - life member refund to Todd Rann</t>
  </si>
  <si>
    <t>B56</t>
  </si>
  <si>
    <t>Membership fee - life member refund to Roy Boyd</t>
  </si>
  <si>
    <t>C1</t>
  </si>
  <si>
    <t>C2</t>
  </si>
  <si>
    <t>Raffle - AGM</t>
  </si>
  <si>
    <t>C3</t>
  </si>
  <si>
    <t>C4</t>
  </si>
  <si>
    <t>Membership - Ranjit Ratnayake</t>
  </si>
  <si>
    <t>C5</t>
  </si>
  <si>
    <t>Raffle - preseason dinner</t>
  </si>
  <si>
    <t>C6</t>
  </si>
  <si>
    <t>Raffle - October general meeting</t>
  </si>
  <si>
    <t>C7</t>
  </si>
  <si>
    <t>October meeting BBQ - reimburse Kirsten Funston</t>
  </si>
  <si>
    <t>C8</t>
  </si>
  <si>
    <t>November meeting BBQ - reimburse Kirsten Funston</t>
  </si>
  <si>
    <t>C9</t>
  </si>
  <si>
    <t>Raffle - November general meeting</t>
  </si>
  <si>
    <t>C10</t>
  </si>
  <si>
    <t>November general meeting bar tab</t>
  </si>
  <si>
    <t>C11</t>
  </si>
  <si>
    <t>C12</t>
  </si>
  <si>
    <t>Shirt - old PMPG logo (size S)</t>
  </si>
  <si>
    <t>C13</t>
  </si>
  <si>
    <t>Raffle - December general meeting</t>
  </si>
  <si>
    <t>C14</t>
  </si>
  <si>
    <t>December meeting BBQ - reimburse Kirsten Funston</t>
  </si>
  <si>
    <t>C15</t>
  </si>
  <si>
    <t>Raffle - January general meeting</t>
  </si>
  <si>
    <t>C16</t>
  </si>
  <si>
    <t>January meeting BBQ - reimburse Ashlee Gibbons</t>
  </si>
  <si>
    <t>C17</t>
  </si>
  <si>
    <t>February meeting BBQ - reimburse Wayne Barron</t>
  </si>
  <si>
    <t>C18</t>
  </si>
  <si>
    <t>Raffle - February general meeting</t>
  </si>
  <si>
    <t>S1</t>
  </si>
  <si>
    <t>S2</t>
  </si>
  <si>
    <t>S3</t>
  </si>
  <si>
    <t>S4</t>
  </si>
  <si>
    <t>S5</t>
  </si>
  <si>
    <t>Transfer to cheque</t>
  </si>
  <si>
    <t>S6</t>
  </si>
  <si>
    <t>S7</t>
  </si>
  <si>
    <t>S8</t>
  </si>
  <si>
    <t>S9</t>
  </si>
  <si>
    <t>S10</t>
  </si>
  <si>
    <t>S11</t>
  </si>
  <si>
    <t>Meeting expenses</t>
  </si>
  <si>
    <t>Seminar drinks</t>
  </si>
  <si>
    <t>Life members' breakfast</t>
  </si>
  <si>
    <t>November post-match social</t>
  </si>
  <si>
    <t>March general meeting</t>
  </si>
  <si>
    <t>Budget for Season 2019-2020</t>
  </si>
  <si>
    <t>Units</t>
  </si>
  <si>
    <t>Price</t>
  </si>
  <si>
    <t>Income/Expenditure</t>
  </si>
  <si>
    <t>Notes</t>
  </si>
  <si>
    <t>Income</t>
  </si>
  <si>
    <t>Membership Fees</t>
  </si>
  <si>
    <t>End of Season Dinner Member Tickets</t>
  </si>
  <si>
    <t>Grand Final Breakfast - WACA Subsidy</t>
  </si>
  <si>
    <t>Sponsorship - Match Official System</t>
  </si>
  <si>
    <t>Raffles - General Meetings + AGM</t>
  </si>
  <si>
    <t>Shirt Income</t>
  </si>
  <si>
    <t>Grand Final Breakfast Tickets</t>
  </si>
  <si>
    <t>Jackets Income</t>
  </si>
  <si>
    <t>End of Season Dinner Partner Tickets</t>
  </si>
  <si>
    <t>Caps Income</t>
  </si>
  <si>
    <t>Life Members' Test Match Meal Tickets</t>
  </si>
  <si>
    <t>Preseason Dinner Tickets (new members)</t>
  </si>
  <si>
    <t>Interest earned</t>
  </si>
  <si>
    <t>Monthly</t>
  </si>
  <si>
    <t>Preseason Dinner Partner Tickets</t>
  </si>
  <si>
    <t>Sponsorship - Other</t>
  </si>
  <si>
    <t>End of Season Dinner Catering</t>
  </si>
  <si>
    <t>Preseason Dinner Partner Costs</t>
  </si>
  <si>
    <t>Grand Final Breakfast</t>
  </si>
  <si>
    <t>WACA</t>
  </si>
  <si>
    <t>General Meetings - Bar Tab</t>
  </si>
  <si>
    <t>Life member jacket</t>
  </si>
  <si>
    <t>End of Season Dinner Extras (MC/Partner Gifts)</t>
  </si>
  <si>
    <t>Life Members' Test Match Meal</t>
  </si>
  <si>
    <t>Mantra/Cornerstone Restaurant</t>
  </si>
  <si>
    <t>Shirts Outgoing</t>
  </si>
  <si>
    <t>Ace Promotions</t>
  </si>
  <si>
    <t>Preseason Dinner Bar Costs</t>
  </si>
  <si>
    <t>Back to base socials</t>
  </si>
  <si>
    <t>Seminar Social - Drinks</t>
  </si>
  <si>
    <t>Seminar Saturday</t>
  </si>
  <si>
    <t>Jackets Outgoing</t>
  </si>
  <si>
    <t>General Meetings - venue fee for season</t>
  </si>
  <si>
    <t>General Meetings - BBQ</t>
  </si>
  <si>
    <t>AGM Food/Drink</t>
  </si>
  <si>
    <t>AGM Printing - Annual Report</t>
  </si>
  <si>
    <t>Olly Cooley Subsidy - End of Season</t>
  </si>
  <si>
    <t>Olly Cooley Subsidy - Preseason</t>
  </si>
  <si>
    <t>Food, Drink, Venue, Equipment (balls etc)</t>
  </si>
  <si>
    <t>Preseason Dinner Prizes</t>
  </si>
  <si>
    <t>Caps Outgoing</t>
  </si>
  <si>
    <t>Life member pin</t>
  </si>
  <si>
    <t>Karen Read Subsidy</t>
  </si>
  <si>
    <t>Website</t>
  </si>
  <si>
    <t>Start</t>
  </si>
  <si>
    <t>Totals</t>
  </si>
  <si>
    <t>Estimated change by end of FY</t>
  </si>
  <si>
    <t>FY Starting Balance</t>
  </si>
  <si>
    <t>Estimated FY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</si>
</sst>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;[Red]\-&quot;$&quot;#,##0.00"/>
    <numFmt numFmtId="165" formatCode="d/mm/yyyy;@"/>
    <numFmt numFmtId="166" formatCode="&quot;$&quot;#,##0.00;[Red]&quot;$&quot;#,##0.00"/>
    <numFmt numFmtId="167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75B5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/>
    <xf numFmtId="165" fontId="1" fillId="0" borderId="1" xfId="0" applyNumberFormat="1" applyFont="1" applyBorder="1" applyAlignment="1">
      <alignment vertical="center"/>
    </xf>
    <xf numFmtId="165" fontId="0" fillId="0" borderId="0" xfId="0" applyNumberFormat="1"/>
    <xf numFmtId="165" fontId="1" fillId="0" borderId="2" xfId="0" applyNumberFormat="1" applyFont="1" applyBorder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164" fontId="1" fillId="2" borderId="5" xfId="0" applyNumberFormat="1" applyFont="1" applyFill="1" applyBorder="1"/>
    <xf numFmtId="164" fontId="1" fillId="2" borderId="7" xfId="0" applyNumberFormat="1" applyFont="1" applyFill="1" applyBorder="1"/>
    <xf numFmtId="164" fontId="1" fillId="3" borderId="0" xfId="0" applyNumberFormat="1" applyFont="1" applyFill="1"/>
    <xf numFmtId="0" fontId="2" fillId="0" borderId="0" xfId="0" applyFont="1"/>
    <xf numFmtId="0" fontId="0" fillId="2" borderId="8" xfId="0" applyFill="1" applyBorder="1"/>
    <xf numFmtId="164" fontId="1" fillId="2" borderId="9" xfId="0" applyNumberFormat="1" applyFont="1" applyFill="1" applyBorder="1"/>
    <xf numFmtId="166" fontId="0" fillId="0" borderId="0" xfId="0" applyNumberFormat="1"/>
    <xf numFmtId="166" fontId="5" fillId="5" borderId="14" xfId="0" applyNumberFormat="1" applyFont="1" applyFill="1" applyBorder="1"/>
    <xf numFmtId="166" fontId="5" fillId="5" borderId="15" xfId="0" applyNumberFormat="1" applyFont="1" applyFill="1" applyBorder="1"/>
    <xf numFmtId="166" fontId="0" fillId="5" borderId="16" xfId="0" applyNumberFormat="1" applyFill="1" applyBorder="1"/>
    <xf numFmtId="166" fontId="0" fillId="5" borderId="17" xfId="0" applyNumberFormat="1" applyFill="1" applyBorder="1"/>
    <xf numFmtId="0" fontId="5" fillId="5" borderId="14" xfId="0" applyFont="1" applyFill="1" applyBorder="1"/>
    <xf numFmtId="0" fontId="5" fillId="5" borderId="18" xfId="0" applyFont="1" applyFill="1" applyBorder="1"/>
    <xf numFmtId="164" fontId="5" fillId="5" borderId="18" xfId="0" applyNumberFormat="1" applyFont="1" applyFill="1" applyBorder="1"/>
    <xf numFmtId="0" fontId="5" fillId="5" borderId="15" xfId="0" applyFont="1" applyFill="1" applyBorder="1"/>
    <xf numFmtId="0" fontId="0" fillId="5" borderId="16" xfId="0" applyFill="1" applyBorder="1"/>
    <xf numFmtId="0" fontId="0" fillId="5" borderId="19" xfId="0" applyFill="1" applyBorder="1"/>
    <xf numFmtId="164" fontId="0" fillId="5" borderId="19" xfId="0" applyNumberFormat="1" applyFill="1" applyBorder="1"/>
    <xf numFmtId="0" fontId="0" fillId="5" borderId="17" xfId="0" applyFill="1" applyBorder="1"/>
    <xf numFmtId="0" fontId="7" fillId="5" borderId="20" xfId="0" applyFont="1" applyFill="1" applyBorder="1"/>
    <xf numFmtId="0" fontId="7" fillId="5" borderId="21" xfId="0" applyFont="1" applyFill="1" applyBorder="1"/>
    <xf numFmtId="164" fontId="7" fillId="5" borderId="21" xfId="0" applyNumberFormat="1" applyFont="1" applyFill="1" applyBorder="1"/>
    <xf numFmtId="0" fontId="7" fillId="5" borderId="21" xfId="0" applyFont="1" applyFill="1" applyBorder="1" applyAlignment="1">
      <alignment horizontal="right"/>
    </xf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164" fontId="6" fillId="5" borderId="21" xfId="0" applyNumberFormat="1" applyFont="1" applyFill="1" applyBorder="1" applyAlignment="1">
      <alignment horizontal="right"/>
    </xf>
    <xf numFmtId="0" fontId="6" fillId="5" borderId="22" xfId="0" applyFont="1" applyFill="1" applyBorder="1" applyAlignment="1">
      <alignment horizontal="right"/>
    </xf>
    <xf numFmtId="166" fontId="3" fillId="8" borderId="5" xfId="0" applyNumberFormat="1" applyFont="1" applyFill="1" applyBorder="1"/>
    <xf numFmtId="166" fontId="8" fillId="7" borderId="4" xfId="0" applyNumberFormat="1" applyFont="1" applyFill="1" applyBorder="1"/>
    <xf numFmtId="166" fontId="4" fillId="4" borderId="13" xfId="0" applyNumberFormat="1" applyFont="1" applyFill="1" applyBorder="1"/>
    <xf numFmtId="166" fontId="4" fillId="6" borderId="13" xfId="0" applyNumberFormat="1" applyFont="1" applyFill="1" applyBorder="1"/>
    <xf numFmtId="16" fontId="0" fillId="0" borderId="0" xfId="0" applyNumberFormat="1"/>
    <xf numFmtId="0" fontId="0" fillId="0" borderId="0" xfId="0" applyAlignment="1">
      <alignment wrapText="1"/>
    </xf>
    <xf numFmtId="40" fontId="0" fillId="0" borderId="0" xfId="0" applyNumberFormat="1"/>
    <xf numFmtId="40" fontId="1" fillId="0" borderId="0" xfId="0" applyNumberFormat="1" applyFont="1"/>
    <xf numFmtId="40" fontId="1" fillId="0" borderId="3" xfId="0" applyNumberFormat="1" applyFont="1" applyBorder="1" applyAlignment="1">
      <alignment horizontal="right" vertical="center"/>
    </xf>
    <xf numFmtId="49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horizontal="right"/>
    </xf>
    <xf numFmtId="164" fontId="1" fillId="2" borderId="24" xfId="0" applyNumberFormat="1" applyFont="1" applyFill="1" applyBorder="1"/>
    <xf numFmtId="49" fontId="0" fillId="2" borderId="25" xfId="0" applyNumberFormat="1" applyFill="1" applyBorder="1"/>
    <xf numFmtId="164" fontId="1" fillId="2" borderId="26" xfId="0" applyNumberFormat="1" applyFont="1" applyFill="1" applyBorder="1"/>
    <xf numFmtId="0" fontId="10" fillId="0" borderId="0" xfId="0" applyFont="1"/>
    <xf numFmtId="49" fontId="0" fillId="2" borderId="29" xfId="0" applyNumberFormat="1" applyFill="1" applyBorder="1"/>
    <xf numFmtId="164" fontId="1" fillId="2" borderId="30" xfId="0" applyNumberFormat="1" applyFont="1" applyFill="1" applyBorder="1"/>
    <xf numFmtId="49" fontId="0" fillId="2" borderId="31" xfId="0" applyNumberFormat="1" applyFill="1" applyBorder="1"/>
    <xf numFmtId="164" fontId="1" fillId="2" borderId="32" xfId="0" applyNumberFormat="1" applyFont="1" applyFill="1" applyBorder="1"/>
    <xf numFmtId="49" fontId="0" fillId="2" borderId="33" xfId="0" applyNumberFormat="1" applyFill="1" applyBorder="1"/>
    <xf numFmtId="49" fontId="0" fillId="2" borderId="36" xfId="0" applyNumberFormat="1" applyFill="1" applyBorder="1"/>
    <xf numFmtId="164" fontId="1" fillId="2" borderId="37" xfId="0" applyNumberFormat="1" applyFont="1" applyFill="1" applyBorder="1"/>
    <xf numFmtId="49" fontId="0" fillId="2" borderId="38" xfId="0" applyNumberFormat="1" applyFill="1" applyBorder="1"/>
    <xf numFmtId="167" fontId="1" fillId="0" borderId="0" xfId="0" applyNumberFormat="1" applyFont="1"/>
    <xf numFmtId="0" fontId="0" fillId="0" borderId="0" xfId="0" applyNumberFormat="1"/>
    <xf numFmtId="0" fontId="1" fillId="0" borderId="2" xfId="0" applyNumberFormat="1" applyFont="1" applyBorder="1" applyAlignment="1">
      <alignment vertical="center"/>
    </xf>
    <xf numFmtId="0" fontId="9" fillId="0" borderId="0" xfId="0" applyNumberFormat="1" applyFont="1"/>
    <xf numFmtId="0" fontId="10" fillId="0" borderId="0" xfId="0" applyNumberFormat="1" applyFont="1"/>
    <xf numFmtId="49" fontId="9" fillId="0" borderId="0" xfId="0" applyNumberFormat="1" applyFont="1"/>
    <xf numFmtId="0" fontId="0" fillId="0" borderId="0" xfId="0" applyFill="1"/>
    <xf numFmtId="164" fontId="1" fillId="0" borderId="0" xfId="0" applyNumberFormat="1" applyFont="1" applyFill="1"/>
    <xf numFmtId="164" fontId="0" fillId="0" borderId="0" xfId="0" applyNumberFormat="1" applyFill="1"/>
    <xf numFmtId="0" fontId="9" fillId="0" borderId="0" xfId="0" applyFont="1" applyFill="1"/>
    <xf numFmtId="0" fontId="9" fillId="0" borderId="0" xfId="0" applyFont="1" applyAlignment="1">
      <alignment wrapText="1"/>
    </xf>
    <xf numFmtId="164" fontId="12" fillId="0" borderId="0" xfId="0" applyNumberFormat="1" applyFont="1" applyFill="1"/>
    <xf numFmtId="164" fontId="9" fillId="0" borderId="0" xfId="0" applyNumberFormat="1" applyFont="1" applyFill="1"/>
    <xf numFmtId="165" fontId="0" fillId="0" borderId="0" xfId="0" applyNumberFormat="1" applyFill="1"/>
    <xf numFmtId="0" fontId="0" fillId="0" borderId="0" xfId="0" applyNumberFormat="1" applyFill="1"/>
    <xf numFmtId="0" fontId="0" fillId="9" borderId="4" xfId="0" applyFont="1" applyFill="1" applyBorder="1"/>
    <xf numFmtId="0" fontId="0" fillId="9" borderId="12" xfId="0" applyFont="1" applyFill="1" applyBorder="1"/>
    <xf numFmtId="164" fontId="0" fillId="9" borderId="12" xfId="0" applyNumberFormat="1" applyFont="1" applyFill="1" applyBorder="1"/>
    <xf numFmtId="0" fontId="0" fillId="9" borderId="5" xfId="0" applyFont="1" applyFill="1" applyBorder="1"/>
    <xf numFmtId="0" fontId="0" fillId="0" borderId="4" xfId="0" applyFont="1" applyBorder="1"/>
    <xf numFmtId="0" fontId="0" fillId="0" borderId="12" xfId="0" applyFont="1" applyBorder="1"/>
    <xf numFmtId="164" fontId="0" fillId="0" borderId="12" xfId="0" applyNumberFormat="1" applyFont="1" applyBorder="1"/>
    <xf numFmtId="0" fontId="0" fillId="0" borderId="5" xfId="0" applyFont="1" applyBorder="1"/>
    <xf numFmtId="0" fontId="0" fillId="9" borderId="23" xfId="0" applyFont="1" applyFill="1" applyBorder="1"/>
    <xf numFmtId="164" fontId="0" fillId="9" borderId="0" xfId="0" applyNumberFormat="1" applyFont="1" applyFill="1" applyBorder="1"/>
    <xf numFmtId="0" fontId="0" fillId="9" borderId="0" xfId="0" applyFont="1" applyFill="1" applyBorder="1"/>
    <xf numFmtId="164" fontId="0" fillId="0" borderId="39" xfId="0" applyNumberFormat="1" applyFont="1" applyBorder="1"/>
    <xf numFmtId="166" fontId="8" fillId="7" borderId="3" xfId="0" applyNumberFormat="1" applyFont="1" applyFill="1" applyBorder="1"/>
    <xf numFmtId="0" fontId="0" fillId="0" borderId="50" xfId="0" applyFont="1" applyBorder="1"/>
    <xf numFmtId="0" fontId="0" fillId="0" borderId="40" xfId="0" applyFont="1" applyBorder="1"/>
    <xf numFmtId="164" fontId="0" fillId="0" borderId="40" xfId="0" applyNumberFormat="1" applyFont="1" applyBorder="1"/>
    <xf numFmtId="0" fontId="0" fillId="0" borderId="51" xfId="0" applyFont="1" applyBorder="1"/>
    <xf numFmtId="164" fontId="0" fillId="9" borderId="40" xfId="0" applyNumberFormat="1" applyFont="1" applyFill="1" applyBorder="1"/>
    <xf numFmtId="0" fontId="0" fillId="9" borderId="8" xfId="0" applyFont="1" applyFill="1" applyBorder="1"/>
    <xf numFmtId="0" fontId="0" fillId="9" borderId="9" xfId="0" applyFont="1" applyFill="1" applyBorder="1"/>
    <xf numFmtId="164" fontId="0" fillId="9" borderId="46" xfId="0" applyNumberFormat="1" applyFont="1" applyFill="1" applyBorder="1"/>
    <xf numFmtId="0" fontId="0" fillId="9" borderId="44" xfId="0" applyFont="1" applyFill="1" applyBorder="1"/>
    <xf numFmtId="0" fontId="0" fillId="9" borderId="54" xfId="0" applyFont="1" applyFill="1" applyBorder="1"/>
    <xf numFmtId="164" fontId="0" fillId="9" borderId="55" xfId="0" applyNumberFormat="1" applyFont="1" applyFill="1" applyBorder="1"/>
    <xf numFmtId="164" fontId="0" fillId="9" borderId="3" xfId="0" applyNumberFormat="1" applyFont="1" applyFill="1" applyBorder="1"/>
    <xf numFmtId="0" fontId="0" fillId="0" borderId="44" xfId="0" applyFont="1" applyBorder="1"/>
    <xf numFmtId="0" fontId="0" fillId="0" borderId="53" xfId="0" applyFont="1" applyBorder="1"/>
    <xf numFmtId="164" fontId="0" fillId="0" borderId="3" xfId="0" applyNumberFormat="1" applyFont="1" applyBorder="1"/>
    <xf numFmtId="164" fontId="0" fillId="9" borderId="1" xfId="0" applyNumberFormat="1" applyFont="1" applyFill="1" applyBorder="1"/>
    <xf numFmtId="0" fontId="0" fillId="0" borderId="9" xfId="0" applyFont="1" applyBorder="1"/>
    <xf numFmtId="0" fontId="0" fillId="9" borderId="45" xfId="0" applyFont="1" applyFill="1" applyBorder="1"/>
    <xf numFmtId="0" fontId="0" fillId="9" borderId="51" xfId="0" applyFont="1" applyFill="1" applyBorder="1"/>
    <xf numFmtId="0" fontId="0" fillId="0" borderId="47" xfId="0" applyFont="1" applyBorder="1"/>
    <xf numFmtId="0" fontId="0" fillId="0" borderId="48" xfId="0" applyFont="1" applyBorder="1"/>
    <xf numFmtId="164" fontId="0" fillId="0" borderId="49" xfId="0" applyNumberFormat="1" applyFont="1" applyBorder="1"/>
    <xf numFmtId="0" fontId="0" fillId="9" borderId="42" xfId="0" applyFont="1" applyFill="1" applyBorder="1"/>
    <xf numFmtId="164" fontId="0" fillId="9" borderId="43" xfId="0" applyNumberFormat="1" applyFont="1" applyFill="1" applyBorder="1"/>
    <xf numFmtId="164" fontId="0" fillId="9" borderId="52" xfId="0" applyNumberFormat="1" applyFont="1" applyFill="1" applyBorder="1"/>
    <xf numFmtId="0" fontId="0" fillId="9" borderId="43" xfId="0" applyFont="1" applyFill="1" applyBorder="1"/>
    <xf numFmtId="0" fontId="0" fillId="9" borderId="46" xfId="0" applyFont="1" applyFill="1" applyBorder="1"/>
    <xf numFmtId="164" fontId="0" fillId="0" borderId="41" xfId="0" applyNumberFormat="1" applyFont="1" applyBorder="1"/>
    <xf numFmtId="164" fontId="1" fillId="2" borderId="56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8" fontId="0" fillId="0" borderId="2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Tables!$B$2:$B$11</c:f>
              <c:numCache>
                <c:formatCode>"$"#,##0.00</c:formatCode>
                <c:ptCount val="10"/>
                <c:pt idx="0">
                  <c:v>115.43</c:v>
                </c:pt>
                <c:pt idx="1">
                  <c:v>590.79999999999995</c:v>
                </c:pt>
                <c:pt idx="2">
                  <c:v>0</c:v>
                </c:pt>
                <c:pt idx="3">
                  <c:v>0</c:v>
                </c:pt>
                <c:pt idx="4">
                  <c:v>5225</c:v>
                </c:pt>
                <c:pt idx="5">
                  <c:v>0</c:v>
                </c:pt>
                <c:pt idx="6">
                  <c:v>1073.1099999999999</c:v>
                </c:pt>
                <c:pt idx="7">
                  <c:v>0</c:v>
                </c:pt>
                <c:pt idx="8">
                  <c:v>180</c:v>
                </c:pt>
                <c:pt idx="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238-B36F-D3BFE053474B}"/>
            </c:ext>
          </c:extLst>
        </c:ser>
        <c:ser>
          <c:idx val="1"/>
          <c:order val="1"/>
          <c:tx>
            <c:strRef>
              <c:f>Tables!$C$1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Tables!$C$2:$C$11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-500</c:v>
                </c:pt>
                <c:pt idx="3">
                  <c:v>-193.05</c:v>
                </c:pt>
                <c:pt idx="4">
                  <c:v>-110</c:v>
                </c:pt>
                <c:pt idx="5">
                  <c:v>0</c:v>
                </c:pt>
                <c:pt idx="6">
                  <c:v>-920.61</c:v>
                </c:pt>
                <c:pt idx="7">
                  <c:v>-819.88</c:v>
                </c:pt>
                <c:pt idx="8">
                  <c:v>-4289.3600000000006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238-B36F-D3BFE053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079799"/>
        <c:axId val="758082295"/>
      </c:barChart>
      <c:catAx>
        <c:axId val="758079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2295"/>
        <c:crosses val="autoZero"/>
        <c:auto val="1"/>
        <c:lblAlgn val="ctr"/>
        <c:lblOffset val="100"/>
        <c:noMultiLvlLbl val="0"/>
      </c:catAx>
      <c:valAx>
        <c:axId val="758082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79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Event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Tables!$G$1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Tables!$F$2:$F$18</c:f>
              <c:strCache>
                <c:ptCount val="17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Olly Cooley</c:v>
                </c:pt>
                <c:pt idx="15">
                  <c:v>March general meeting</c:v>
                </c:pt>
                <c:pt idx="16">
                  <c:v>None</c:v>
                </c:pt>
              </c:strCache>
            </c:strRef>
          </c:cat>
          <c:val>
            <c:numRef>
              <c:f>Tables!$G$2:$G$18</c:f>
              <c:numCache>
                <c:formatCode>"$"#,##0.00</c:formatCode>
                <c:ptCount val="17"/>
                <c:pt idx="0">
                  <c:v>105</c:v>
                </c:pt>
                <c:pt idx="1">
                  <c:v>6225</c:v>
                </c:pt>
                <c:pt idx="2">
                  <c:v>0</c:v>
                </c:pt>
                <c:pt idx="3">
                  <c:v>56</c:v>
                </c:pt>
                <c:pt idx="4">
                  <c:v>76</c:v>
                </c:pt>
                <c:pt idx="5">
                  <c:v>0</c:v>
                </c:pt>
                <c:pt idx="6">
                  <c:v>0</c:v>
                </c:pt>
                <c:pt idx="7">
                  <c:v>90</c:v>
                </c:pt>
                <c:pt idx="8">
                  <c:v>0</c:v>
                </c:pt>
                <c:pt idx="9">
                  <c:v>0</c:v>
                </c:pt>
                <c:pt idx="10">
                  <c:v>56</c:v>
                </c:pt>
                <c:pt idx="11">
                  <c:v>49.8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4530.1400000000012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6-4CCD-A109-A01CB3A87C19}"/>
            </c:ext>
          </c:extLst>
        </c:ser>
        <c:ser>
          <c:idx val="1"/>
          <c:order val="1"/>
          <c:tx>
            <c:strRef>
              <c:f>Tables!$H$1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Tables!$F$2:$F$18</c:f>
              <c:strCache>
                <c:ptCount val="17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Olly Cooley</c:v>
                </c:pt>
                <c:pt idx="15">
                  <c:v>March general meeting</c:v>
                </c:pt>
                <c:pt idx="16">
                  <c:v>None</c:v>
                </c:pt>
              </c:strCache>
            </c:strRef>
          </c:cat>
          <c:val>
            <c:numRef>
              <c:f>Tables!$H$2:$H$18</c:f>
              <c:numCache>
                <c:formatCode>"$"#,##0.00</c:formatCode>
                <c:ptCount val="17"/>
                <c:pt idx="0">
                  <c:v>-297.84000000000003</c:v>
                </c:pt>
                <c:pt idx="1">
                  <c:v>-610</c:v>
                </c:pt>
                <c:pt idx="2">
                  <c:v>0</c:v>
                </c:pt>
                <c:pt idx="3">
                  <c:v>-149.5</c:v>
                </c:pt>
                <c:pt idx="4">
                  <c:v>-231.5</c:v>
                </c:pt>
                <c:pt idx="5">
                  <c:v>0</c:v>
                </c:pt>
                <c:pt idx="6">
                  <c:v>0</c:v>
                </c:pt>
                <c:pt idx="7">
                  <c:v>-136</c:v>
                </c:pt>
                <c:pt idx="8">
                  <c:v>0</c:v>
                </c:pt>
                <c:pt idx="9">
                  <c:v>-36</c:v>
                </c:pt>
                <c:pt idx="10">
                  <c:v>-152.05000000000001</c:v>
                </c:pt>
                <c:pt idx="11">
                  <c:v>-254.5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-5082.09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6-4CCD-A109-A01CB3A87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702184"/>
        <c:axId val="334700520"/>
      </c:barChart>
      <c:catAx>
        <c:axId val="3347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0520"/>
        <c:crosses val="autoZero"/>
        <c:auto val="1"/>
        <c:lblAlgn val="ctr"/>
        <c:lblOffset val="100"/>
        <c:noMultiLvlLbl val="0"/>
      </c:catAx>
      <c:valAx>
        <c:axId val="33470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381000</xdr:colOff>
      <xdr:row>26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19</xdr:col>
      <xdr:colOff>247650</xdr:colOff>
      <xdr:row>54</xdr:row>
      <xdr:rowOff>38100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41059BBE-4522-4E4A-BF65-83A5CDF42472}"/>
            </a:ext>
            <a:ext uri="{147F2762-F138-4A5C-976F-8EAC2B608ADB}">
              <a16:predDERef xmlns:a16="http://schemas.microsoft.com/office/drawing/2014/main" pre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zoomScaleNormal="100" workbookViewId="0">
      <selection activeCell="E55" sqref="E55"/>
    </sheetView>
  </sheetViews>
  <sheetFormatPr defaultRowHeight="14.45"/>
  <cols>
    <col min="1" max="1" width="31.42578125" bestFit="1" customWidth="1"/>
    <col min="2" max="2" width="18.28515625" style="1" customWidth="1"/>
    <col min="5" max="5" width="25.140625" customWidth="1"/>
    <col min="6" max="6" width="14.7109375" style="2" customWidth="1"/>
    <col min="8" max="8" width="25.42578125" bestFit="1" customWidth="1"/>
    <col min="9" max="9" width="12" bestFit="1" customWidth="1"/>
    <col min="11" max="11" width="10.28515625" bestFit="1" customWidth="1"/>
  </cols>
  <sheetData>
    <row r="1" spans="1:11">
      <c r="A1" t="s">
        <v>0</v>
      </c>
      <c r="B1" s="1">
        <v>1932.77</v>
      </c>
      <c r="E1" t="s">
        <v>1</v>
      </c>
      <c r="F1" s="2">
        <f>SUM($B$1:$B$3)</f>
        <v>19343.719999999998</v>
      </c>
    </row>
    <row r="2" spans="1:11">
      <c r="A2" t="s">
        <v>2</v>
      </c>
      <c r="B2" s="1">
        <v>17302.849999999999</v>
      </c>
      <c r="E2" t="s">
        <v>3</v>
      </c>
      <c r="F2" s="2">
        <f>F3-F1</f>
        <v>1351.440000000006</v>
      </c>
      <c r="K2" s="1"/>
    </row>
    <row r="3" spans="1:11">
      <c r="A3" t="s">
        <v>4</v>
      </c>
      <c r="B3" s="1">
        <v>108.1</v>
      </c>
      <c r="E3" s="5" t="s">
        <v>5</v>
      </c>
      <c r="F3" s="13">
        <f>'BOQ Cheque'!$J$1+Cash!$J$1+'BOQ Savings'!$J$1</f>
        <v>20695.160000000003</v>
      </c>
      <c r="K3" s="49"/>
    </row>
    <row r="4" spans="1:11">
      <c r="F4" s="49"/>
    </row>
    <row r="5" spans="1:11">
      <c r="A5" t="s">
        <v>6</v>
      </c>
      <c r="B5" s="1">
        <f>SUM('BOQ Cheque'!G:G)-B1</f>
        <v>4242.4500000000007</v>
      </c>
    </row>
    <row r="6" spans="1:11">
      <c r="A6" t="s">
        <v>7</v>
      </c>
      <c r="B6" s="1">
        <f>SUM('BOQ Savings'!G:G)-Summary!$B$2</f>
        <v>-2887.1599999999962</v>
      </c>
    </row>
    <row r="7" spans="1:11">
      <c r="A7" t="s">
        <v>8</v>
      </c>
      <c r="B7" s="1">
        <f>SUM(Cash!G:G)-Summary!B3</f>
        <v>-3.8499999999999943</v>
      </c>
    </row>
    <row r="11" spans="1:11" ht="15"/>
    <row r="12" spans="1:11" ht="15">
      <c r="A12" s="123" t="s">
        <v>9</v>
      </c>
      <c r="B12" s="124"/>
      <c r="E12" s="125" t="s">
        <v>10</v>
      </c>
      <c r="F12" s="126"/>
      <c r="H12" s="127" t="s">
        <v>11</v>
      </c>
      <c r="I12" s="128"/>
    </row>
    <row r="13" spans="1:11" ht="15">
      <c r="A13" s="15" t="s">
        <v>12</v>
      </c>
      <c r="B13" s="16">
        <f>B1+B5</f>
        <v>6175.2200000000012</v>
      </c>
      <c r="E13" s="15" t="s">
        <v>13</v>
      </c>
      <c r="F13" s="16">
        <f>SUMIF('BOQ Cheque'!D:D,$E13,'BOQ Cheque'!G:G) + SUMIF('BOQ Savings'!D:D,$E13,'BOQ Savings'!G:G) + SUMIF(Cash!D:D,$E13,Cash!G:G)</f>
        <v>115.43</v>
      </c>
      <c r="H13" s="60" t="s">
        <v>14</v>
      </c>
      <c r="I13" s="61">
        <f>SUMIF('BOQ Cheque'!E:E,$H13,'BOQ Cheque'!G:G) + SUMIF('BOQ Savings'!E:E,$H13,'BOQ Savings'!G:G) + SUMIF(Cash!E:E,$H13,Cash!G:G)</f>
        <v>-192.84000000000003</v>
      </c>
    </row>
    <row r="14" spans="1:11" ht="15">
      <c r="A14" s="9" t="s">
        <v>15</v>
      </c>
      <c r="B14" s="11">
        <f>B3+B7</f>
        <v>104.25</v>
      </c>
      <c r="E14" s="9" t="s">
        <v>16</v>
      </c>
      <c r="F14" s="16">
        <f>SUMIF('BOQ Cheque'!D:D,$E14,'BOQ Cheque'!G:G) + SUMIF('BOQ Savings'!D:D,$E14,'BOQ Savings'!G:G) + SUMIF(Cash!D:D,$E14,Cash!G:G)</f>
        <v>590.79999999999995</v>
      </c>
      <c r="H14" s="55" t="s">
        <v>17</v>
      </c>
      <c r="I14" s="56">
        <f>SUMIF('BOQ Cheque'!E:E,$H14,'BOQ Cheque'!G:G) + SUMIF('BOQ Savings'!E:E,$H14,'BOQ Savings'!G:G) + SUMIF(Cash!E:E,$H14,Cash!G:G)</f>
        <v>5615</v>
      </c>
    </row>
    <row r="15" spans="1:11" ht="15">
      <c r="A15" s="10" t="s">
        <v>18</v>
      </c>
      <c r="B15" s="12">
        <f>B2+B6</f>
        <v>14415.690000000002</v>
      </c>
      <c r="E15" s="9" t="s">
        <v>19</v>
      </c>
      <c r="F15" s="16">
        <f>SUMIF('BOQ Cheque'!D:D,$E15,'BOQ Cheque'!G:G) + SUMIF('BOQ Savings'!D:D,$E15,'BOQ Savings'!G:G) + SUMIF(Cash!D:D,$E15,Cash!G:G)</f>
        <v>-500</v>
      </c>
      <c r="H15" s="55" t="s">
        <v>20</v>
      </c>
      <c r="I15" s="56">
        <f>SUMIF('BOQ Cheque'!E:E,$H15,'BOQ Cheque'!G:G) + SUMIF('BOQ Savings'!E:E,$H15,'BOQ Savings'!G:G) + SUMIF(Cash!E:E,$H15,Cash!G:G)</f>
        <v>-445.5</v>
      </c>
    </row>
    <row r="16" spans="1:11" ht="15">
      <c r="A16" s="14" t="s">
        <v>21</v>
      </c>
      <c r="B16" s="13">
        <f>F1+F2</f>
        <v>20695.160000000003</v>
      </c>
      <c r="E16" s="9" t="s">
        <v>22</v>
      </c>
      <c r="F16" s="16">
        <f>SUMIF('BOQ Cheque'!D:D,$E16,'BOQ Cheque'!G:G) + SUMIF('BOQ Savings'!D:D,$E16,'BOQ Savings'!G:G) + SUMIF(Cash!D:D,$E16,Cash!G:G)</f>
        <v>-193.05</v>
      </c>
      <c r="H16" s="55" t="s">
        <v>23</v>
      </c>
      <c r="I16" s="56">
        <f>SUMIF('BOQ Cheque'!E:E,$H16,'BOQ Cheque'!G:G) + SUMIF('BOQ Savings'!E:E,$H16,'BOQ Savings'!G:G) + SUMIF(Cash!E:E,$H16,Cash!G:G)</f>
        <v>-93.5</v>
      </c>
      <c r="K16" s="49"/>
    </row>
    <row r="17" spans="2:11" ht="15">
      <c r="B17" s="2"/>
      <c r="E17" s="9" t="s">
        <v>24</v>
      </c>
      <c r="F17" s="16">
        <f>SUMIF('BOQ Cheque'!D:D,$E17,'BOQ Cheque'!G:G) + SUMIF('BOQ Savings'!D:D,$E17,'BOQ Savings'!G:G) + SUMIF(Cash!D:D,$E17,Cash!G:G)</f>
        <v>5115</v>
      </c>
      <c r="H17" s="55" t="s">
        <v>25</v>
      </c>
      <c r="I17" s="56">
        <f>SUMIF('BOQ Cheque'!E:E,$H17,'BOQ Cheque'!G:G) + SUMIF('BOQ Savings'!E:E,$H17,'BOQ Savings'!G:G) + SUMIF(Cash!E:E,$H17,Cash!G:G)</f>
        <v>-155.5</v>
      </c>
    </row>
    <row r="18" spans="2:11" ht="15">
      <c r="B18" s="2"/>
      <c r="E18" s="9" t="s">
        <v>26</v>
      </c>
      <c r="F18" s="16">
        <f>SUMIF('BOQ Cheque'!D:D,$E18,'BOQ Cheque'!G:G) + SUMIF('BOQ Savings'!D:D,$E18,'BOQ Savings'!G:G) + SUMIF(Cash!D:D,$E18,Cash!G:G)</f>
        <v>0</v>
      </c>
      <c r="H18" s="55" t="s">
        <v>27</v>
      </c>
      <c r="I18" s="56">
        <f>SUMIF('BOQ Cheque'!E:E,$H18,'BOQ Cheque'!G:G) + SUMIF('BOQ Savings'!E:E,$H18,'BOQ Savings'!G:G) + SUMIF(Cash!E:E,$H18,Cash!G:G)</f>
        <v>0</v>
      </c>
    </row>
    <row r="19" spans="2:11" ht="15">
      <c r="E19" s="9" t="s">
        <v>28</v>
      </c>
      <c r="F19" s="16">
        <f>SUMIF('BOQ Cheque'!D:D,$E19,'BOQ Cheque'!G:G) + SUMIF('BOQ Savings'!D:D,$E19,'BOQ Savings'!G:G) + SUMIF(Cash!D:D,$E19,Cash!G:G)</f>
        <v>152.49999999999989</v>
      </c>
      <c r="H19" s="55" t="s">
        <v>29</v>
      </c>
      <c r="I19" s="56">
        <f>SUMIF('BOQ Cheque'!E:E,$H19,'BOQ Cheque'!G:G) + SUMIF('BOQ Savings'!E:E,$H19,'BOQ Savings'!G:G) + SUMIF(Cash!E:E,$H19,Cash!G:G)</f>
        <v>-199.8</v>
      </c>
    </row>
    <row r="20" spans="2:11" ht="15">
      <c r="E20" s="9" t="s">
        <v>30</v>
      </c>
      <c r="F20" s="16">
        <f>SUMIF('BOQ Cheque'!D:D,$E20,'BOQ Cheque'!G:G) + SUMIF('BOQ Savings'!D:D,$E20,'BOQ Savings'!G:G) + SUMIF(Cash!D:D,$E20,Cash!G:G)</f>
        <v>0</v>
      </c>
      <c r="H20" s="55" t="s">
        <v>31</v>
      </c>
      <c r="I20" s="56">
        <f>SUMIF('BOQ Cheque'!E:E,$H20,'BOQ Cheque'!G:G) + SUMIF('BOQ Savings'!E:E,$H20,'BOQ Savings'!G:G) + SUMIF(Cash!E:E,$H20,Cash!G:G)</f>
        <v>-46</v>
      </c>
      <c r="K20" s="1"/>
    </row>
    <row r="21" spans="2:11" ht="15">
      <c r="E21" s="9" t="s">
        <v>32</v>
      </c>
      <c r="F21" s="16">
        <f>SUMIF('BOQ Cheque'!D:D,$E21,'BOQ Cheque'!G:G) + SUMIF('BOQ Savings'!D:D,$E21,'BOQ Savings'!G:G) + SUMIF(Cash!D:D,$E21,Cash!G:G)</f>
        <v>-819.88</v>
      </c>
      <c r="H21" s="55" t="s">
        <v>33</v>
      </c>
      <c r="I21" s="56">
        <f>SUMIF('BOQ Cheque'!E:E,$H21,'BOQ Cheque'!G:G) + SUMIF('BOQ Savings'!E:E,$H21,'BOQ Savings'!G:G) + SUMIF(Cash!E:E,$H21,Cash!G:G)</f>
        <v>0</v>
      </c>
    </row>
    <row r="22" spans="2:11" ht="15">
      <c r="E22" s="9" t="s">
        <v>34</v>
      </c>
      <c r="F22" s="16">
        <f>SUMIF('BOQ Cheque'!D:D,$E22,'BOQ Cheque'!G:G) + SUMIF('BOQ Savings'!D:D,$E22,'BOQ Savings'!G:G) + SUMIF(Cash!D:D,$E22,Cash!G:G)</f>
        <v>-4109.3600000000006</v>
      </c>
      <c r="H22" s="55" t="s">
        <v>35</v>
      </c>
      <c r="I22" s="56">
        <f>SUMIF('BOQ Cheque'!E:E,$H22,'BOQ Cheque'!G:G) + SUMIF('BOQ Savings'!E:E,$H22,'BOQ Savings'!G:G) + SUMIF(Cash!E:E,$H22,Cash!G:G)</f>
        <v>-36</v>
      </c>
    </row>
    <row r="23" spans="2:11" ht="15">
      <c r="E23" s="10" t="s">
        <v>36</v>
      </c>
      <c r="F23" s="54">
        <f>SUMIF('BOQ Cheque'!D:D,$E23,'BOQ Cheque'!G:G) + SUMIF('BOQ Savings'!D:D,$E23,'BOQ Savings'!G:G) + SUMIF(Cash!D:D,$E23,Cash!G:G)</f>
        <v>1000</v>
      </c>
      <c r="H23" s="55" t="s">
        <v>37</v>
      </c>
      <c r="I23" s="56">
        <f>SUMIF('BOQ Cheque'!E:E,$H23,'BOQ Cheque'!G:G) + SUMIF('BOQ Savings'!E:E,$H23,'BOQ Savings'!G:G) + SUMIF(Cash!E:E,$H23,Cash!G:G)</f>
        <v>-96.05</v>
      </c>
      <c r="K23" s="1"/>
    </row>
    <row r="24" spans="2:11" ht="15">
      <c r="E24" s="53" t="s">
        <v>38</v>
      </c>
      <c r="F24" s="2">
        <f>SUM(F13:F23)</f>
        <v>1351.4399999999996</v>
      </c>
      <c r="H24" s="55" t="s">
        <v>39</v>
      </c>
      <c r="I24" s="56">
        <f>SUMIF('BOQ Cheque'!E:E,$H24,'BOQ Cheque'!G:G) + SUMIF('BOQ Savings'!E:E,$H24,'BOQ Savings'!G:G) + SUMIF(Cash!E:E,$H24,Cash!G:G)</f>
        <v>-204.7</v>
      </c>
      <c r="K24" s="49"/>
    </row>
    <row r="25" spans="2:11" ht="15">
      <c r="E25" s="53"/>
      <c r="H25" s="58" t="s">
        <v>40</v>
      </c>
      <c r="I25" s="59">
        <f>SUMIF('BOQ Cheque'!E:E,$H25,'BOQ Cheque'!G:G) + SUMIF('BOQ Savings'!E:E,$H25,'BOQ Savings'!G:G) + SUMIF(Cash!E:E,$H25,Cash!G:G)</f>
        <v>0</v>
      </c>
    </row>
    <row r="26" spans="2:11" ht="15">
      <c r="H26" s="62" t="s">
        <v>41</v>
      </c>
      <c r="I26" s="64">
        <f>SUMIF('BOQ Cheque'!E:E,$H26,'BOQ Cheque'!G:G) + SUMIF('BOQ Savings'!E:E,$H26,'BOQ Savings'!G:G) + SUMIF(Cash!E:E,$H26,Cash!G:G)</f>
        <v>0</v>
      </c>
    </row>
    <row r="27" spans="2:11" ht="15">
      <c r="H27" s="62" t="s">
        <v>42</v>
      </c>
      <c r="I27" s="64">
        <f>SUMIF('BOQ Cheque'!E:E,$H27,'BOQ Cheque'!G:G) + SUMIF('BOQ Savings'!E:E,$H27,'BOQ Savings'!G:G) + SUMIF(Cash!E:E,$H27,Cash!G:G)</f>
        <v>0</v>
      </c>
      <c r="K27" s="1"/>
    </row>
    <row r="28" spans="2:11" ht="15">
      <c r="H28" s="62" t="s">
        <v>43</v>
      </c>
      <c r="I28" s="64">
        <f>SUMIF('BOQ Cheque'!E:E,$H28,'BOQ Cheque'!G:G) + SUMIF('BOQ Savings'!E:E,$H28,'BOQ Savings'!G:G) + SUMIF(Cash!E:E,$H28,Cash!G:G)</f>
        <v>0</v>
      </c>
      <c r="K28" s="1"/>
    </row>
    <row r="29" spans="2:11" ht="15">
      <c r="H29" s="65" t="s">
        <v>44</v>
      </c>
      <c r="I29" s="64">
        <f>SUMIF('BOQ Cheque'!E:E,$H29,'BOQ Cheque'!G:G) + SUMIF('BOQ Savings'!E:E,$H29,'BOQ Savings'!G:G) + SUMIF(Cash!E:E,$H29,Cash!G:G)</f>
        <v>0</v>
      </c>
    </row>
    <row r="30" spans="2:11" ht="15">
      <c r="H30" s="65" t="s">
        <v>45</v>
      </c>
      <c r="I30" s="64">
        <f>SUMIF('BOQ Cheque'!E:E,$H30,'BOQ Cheque'!G:G) + SUMIF('BOQ Savings'!E:E,$H30,'BOQ Savings'!G:G) + SUMIF(Cash!E:E,$H30,Cash!G:G)</f>
        <v>-2241.7200000000003</v>
      </c>
    </row>
    <row r="31" spans="2:11" ht="15">
      <c r="H31" s="63" t="s">
        <v>46</v>
      </c>
      <c r="I31" s="122">
        <f>SUMIF('BOQ Cheque'!E:E,$H31,'BOQ Cheque'!G:G) + SUMIF('BOQ Savings'!E:E,$H31,'BOQ Savings'!G:G) + SUMIF(Cash!E:E,$H31,Cash!G:G)</f>
        <v>-551.95000000000039</v>
      </c>
    </row>
    <row r="32" spans="2:11" ht="15"/>
  </sheetData>
  <mergeCells count="3">
    <mergeCell ref="A12:B12"/>
    <mergeCell ref="E12:F12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2"/>
  <sheetViews>
    <sheetView topLeftCell="A37" workbookViewId="0">
      <selection activeCell="C59" sqref="C59"/>
    </sheetView>
  </sheetViews>
  <sheetFormatPr defaultRowHeight="14.45"/>
  <cols>
    <col min="1" max="1" width="20.7109375" style="7" customWidth="1"/>
    <col min="2" max="2" width="5.140625" bestFit="1" customWidth="1"/>
    <col min="3" max="3" width="59.7109375" bestFit="1" customWidth="1"/>
    <col min="4" max="4" width="20.7109375" customWidth="1"/>
    <col min="5" max="5" width="27" style="67" customWidth="1"/>
    <col min="6" max="6" width="5.140625" bestFit="1" customWidth="1"/>
    <col min="7" max="7" width="20.7109375" style="1" customWidth="1"/>
    <col min="8" max="8" width="20.7109375" style="5" customWidth="1"/>
    <col min="9" max="9" width="7.7109375" customWidth="1"/>
    <col min="10" max="10" width="9.140625" style="1"/>
    <col min="12" max="12" width="9.28515625" style="1" bestFit="1" customWidth="1"/>
    <col min="13" max="13" width="12" style="1" bestFit="1" customWidth="1"/>
  </cols>
  <sheetData>
    <row r="1" spans="1:13">
      <c r="A1" s="8" t="s">
        <v>47</v>
      </c>
      <c r="B1" s="3" t="s">
        <v>48</v>
      </c>
      <c r="C1" s="3" t="s">
        <v>49</v>
      </c>
      <c r="D1" s="3" t="s">
        <v>50</v>
      </c>
      <c r="E1" s="68" t="s">
        <v>51</v>
      </c>
      <c r="F1" s="3" t="s">
        <v>52</v>
      </c>
      <c r="G1" s="4" t="s">
        <v>53</v>
      </c>
      <c r="H1" s="4" t="s">
        <v>54</v>
      </c>
      <c r="J1" s="1">
        <f>INDEX(H:H,COUNT(H:H)+1)</f>
        <v>6175.22</v>
      </c>
      <c r="L1" s="1" t="s">
        <v>55</v>
      </c>
      <c r="M1" s="1" t="s">
        <v>56</v>
      </c>
    </row>
    <row r="2" spans="1:13">
      <c r="A2" s="7">
        <v>43252</v>
      </c>
      <c r="B2" t="s">
        <v>57</v>
      </c>
      <c r="C2" t="s">
        <v>58</v>
      </c>
      <c r="G2" s="1">
        <v>1932.77</v>
      </c>
      <c r="H2" s="2">
        <f>G2</f>
        <v>1932.77</v>
      </c>
    </row>
    <row r="3" spans="1:13">
      <c r="A3" s="7">
        <v>44012</v>
      </c>
      <c r="B3" t="s">
        <v>59</v>
      </c>
      <c r="C3" t="s">
        <v>13</v>
      </c>
      <c r="D3" t="str">
        <f>Summary!$E$13</f>
        <v>Interest</v>
      </c>
      <c r="E3" s="67" t="str">
        <f>Summary!$H$31</f>
        <v>None</v>
      </c>
      <c r="G3" s="1">
        <v>0.23</v>
      </c>
      <c r="H3" s="2">
        <f>H2+G3</f>
        <v>1933</v>
      </c>
      <c r="L3" s="1">
        <f t="shared" ref="L3:L6" si="0">IF(G3&gt; 0, G3, 0)</f>
        <v>0.23</v>
      </c>
      <c r="M3" s="1">
        <f t="shared" ref="M3:M6" si="1">IF(G3&lt;0, G3, 0)</f>
        <v>0</v>
      </c>
    </row>
    <row r="4" spans="1:13" ht="15">
      <c r="A4" s="7">
        <v>44041</v>
      </c>
      <c r="B4" t="s">
        <v>60</v>
      </c>
      <c r="C4" s="43" t="s">
        <v>61</v>
      </c>
      <c r="D4" t="str">
        <f>Summary!$E$17</f>
        <v>Membership Fee</v>
      </c>
      <c r="E4" s="67" t="str">
        <f>Summary!$H$14</f>
        <v>Season</v>
      </c>
      <c r="G4" s="1">
        <v>55</v>
      </c>
      <c r="H4" s="2">
        <f>H3+G4</f>
        <v>1988</v>
      </c>
      <c r="L4" s="1">
        <f t="shared" si="0"/>
        <v>55</v>
      </c>
      <c r="M4" s="1">
        <f t="shared" si="1"/>
        <v>0</v>
      </c>
    </row>
    <row r="5" spans="1:13">
      <c r="A5" s="7">
        <v>44043</v>
      </c>
      <c r="B5" t="s">
        <v>62</v>
      </c>
      <c r="C5" t="s">
        <v>13</v>
      </c>
      <c r="D5" t="str">
        <f>Summary!$E$13</f>
        <v>Interest</v>
      </c>
      <c r="E5" s="67" t="str">
        <f>Summary!$H$31</f>
        <v>None</v>
      </c>
      <c r="G5" s="1">
        <v>0.24</v>
      </c>
      <c r="H5" s="2">
        <f>H4+G5</f>
        <v>1988.24</v>
      </c>
      <c r="L5" s="1">
        <f t="shared" si="0"/>
        <v>0.24</v>
      </c>
      <c r="M5" s="1">
        <f t="shared" si="1"/>
        <v>0</v>
      </c>
    </row>
    <row r="6" spans="1:13" ht="15">
      <c r="A6" s="7">
        <v>44044</v>
      </c>
      <c r="B6" t="s">
        <v>63</v>
      </c>
      <c r="C6" s="43" t="s">
        <v>64</v>
      </c>
      <c r="D6" t="str">
        <f>Summary!$E$22</f>
        <v>Social</v>
      </c>
      <c r="E6" s="47" t="str">
        <f>Summary!$H$13</f>
        <v>AGM</v>
      </c>
      <c r="G6" s="1">
        <v>-256.5</v>
      </c>
      <c r="H6" s="2">
        <f>H5+G6</f>
        <v>1731.74</v>
      </c>
      <c r="L6" s="1">
        <f t="shared" si="0"/>
        <v>0</v>
      </c>
      <c r="M6" s="1">
        <f t="shared" si="1"/>
        <v>-256.5</v>
      </c>
    </row>
    <row r="7" spans="1:13">
      <c r="A7" s="7">
        <v>44044</v>
      </c>
      <c r="B7" t="s">
        <v>65</v>
      </c>
      <c r="C7" t="s">
        <v>66</v>
      </c>
      <c r="D7" t="str">
        <f>Summary!$E$22</f>
        <v>Social</v>
      </c>
      <c r="E7" s="47" t="str">
        <f>Summary!$H$13</f>
        <v>AGM</v>
      </c>
      <c r="G7" s="1">
        <v>-41.34</v>
      </c>
      <c r="H7" s="2">
        <f>H6+G7</f>
        <v>1690.4</v>
      </c>
      <c r="L7" s="1">
        <f t="shared" ref="L7:L38" si="2">IF(G7&gt; 0, G7, 0)</f>
        <v>0</v>
      </c>
      <c r="M7" s="1">
        <f t="shared" ref="M7:M38" si="3">IF(G7&lt;0, G7, 0)</f>
        <v>-41.34</v>
      </c>
    </row>
    <row r="8" spans="1:13" ht="15">
      <c r="A8" s="7">
        <v>44055</v>
      </c>
      <c r="B8" t="s">
        <v>67</v>
      </c>
      <c r="C8" s="43" t="s">
        <v>68</v>
      </c>
      <c r="D8" t="str">
        <f>Summary!$E$20</f>
        <v>Transfer</v>
      </c>
      <c r="E8" s="67" t="str">
        <f>Summary!$H$31</f>
        <v>None</v>
      </c>
      <c r="F8" t="str">
        <f>Cash!$B$4</f>
        <v>C3</v>
      </c>
      <c r="G8" s="1">
        <v>213.1</v>
      </c>
      <c r="H8" s="2">
        <f>H7+G8</f>
        <v>1903.5</v>
      </c>
      <c r="L8" s="1">
        <f t="shared" si="2"/>
        <v>213.1</v>
      </c>
      <c r="M8" s="1">
        <f t="shared" si="3"/>
        <v>0</v>
      </c>
    </row>
    <row r="9" spans="1:13">
      <c r="A9" s="7">
        <v>44063</v>
      </c>
      <c r="B9" t="s">
        <v>69</v>
      </c>
      <c r="C9" t="s">
        <v>70</v>
      </c>
      <c r="D9" t="str">
        <f>Summary!$E$22</f>
        <v>Social</v>
      </c>
      <c r="E9" s="47" t="str">
        <f>Summary!$H$30</f>
        <v>Preseason dinner</v>
      </c>
      <c r="G9" s="1">
        <v>60</v>
      </c>
      <c r="H9" s="2">
        <f>H8+G9</f>
        <v>1963.5</v>
      </c>
      <c r="L9" s="1">
        <f t="shared" si="2"/>
        <v>60</v>
      </c>
      <c r="M9" s="1">
        <f t="shared" si="3"/>
        <v>0</v>
      </c>
    </row>
    <row r="10" spans="1:13" ht="15">
      <c r="A10" s="7">
        <v>44074</v>
      </c>
      <c r="B10" t="s">
        <v>71</v>
      </c>
      <c r="C10" s="43" t="s">
        <v>72</v>
      </c>
      <c r="D10" t="str">
        <f>Summary!$E$21</f>
        <v>Miscellaneous</v>
      </c>
      <c r="E10" s="67" t="str">
        <f>Summary!$H$31</f>
        <v>None</v>
      </c>
      <c r="G10" s="1">
        <v>-259.88</v>
      </c>
      <c r="H10" s="2">
        <f t="shared" ref="H10:H24" si="4">H9+G10</f>
        <v>1703.62</v>
      </c>
      <c r="L10" s="1">
        <f t="shared" si="2"/>
        <v>0</v>
      </c>
      <c r="M10" s="1">
        <f t="shared" si="3"/>
        <v>-259.88</v>
      </c>
    </row>
    <row r="11" spans="1:13">
      <c r="A11" s="7">
        <v>44074</v>
      </c>
      <c r="B11" t="s">
        <v>73</v>
      </c>
      <c r="C11" t="s">
        <v>74</v>
      </c>
      <c r="D11" t="str">
        <f>Summary!$E$22</f>
        <v>Social</v>
      </c>
      <c r="E11" s="47" t="str">
        <f>Summary!$H$15</f>
        <v>Preseason seminar social</v>
      </c>
      <c r="G11" s="1">
        <v>-445.5</v>
      </c>
      <c r="H11" s="2">
        <f t="shared" si="4"/>
        <v>1258.1199999999999</v>
      </c>
      <c r="L11" s="1">
        <f t="shared" si="2"/>
        <v>0</v>
      </c>
      <c r="M11" s="1">
        <f t="shared" si="3"/>
        <v>-445.5</v>
      </c>
    </row>
    <row r="12" spans="1:13">
      <c r="A12" s="7">
        <v>44074</v>
      </c>
      <c r="B12" t="s">
        <v>75</v>
      </c>
      <c r="C12" t="s">
        <v>13</v>
      </c>
      <c r="D12" t="str">
        <f>Summary!$E$13</f>
        <v>Interest</v>
      </c>
      <c r="E12" s="67" t="str">
        <f>Summary!$H$31</f>
        <v>None</v>
      </c>
      <c r="G12" s="1">
        <v>0.16</v>
      </c>
      <c r="H12" s="2">
        <f t="shared" si="4"/>
        <v>1258.28</v>
      </c>
      <c r="L12" s="1">
        <f t="shared" si="2"/>
        <v>0.16</v>
      </c>
      <c r="M12" s="1">
        <f t="shared" si="3"/>
        <v>0</v>
      </c>
    </row>
    <row r="13" spans="1:13" ht="15">
      <c r="A13" s="7">
        <v>44081</v>
      </c>
      <c r="B13" t="s">
        <v>76</v>
      </c>
      <c r="C13" t="s">
        <v>77</v>
      </c>
      <c r="D13" t="str">
        <f>Summary!$E$19</f>
        <v>Merchandise</v>
      </c>
      <c r="E13" s="67" t="str">
        <f>Summary!$H$31</f>
        <v>None</v>
      </c>
      <c r="G13" s="1">
        <v>0.17</v>
      </c>
      <c r="H13" s="2">
        <f t="shared" si="4"/>
        <v>1258.45</v>
      </c>
      <c r="L13" s="1">
        <f t="shared" si="2"/>
        <v>0.17</v>
      </c>
      <c r="M13" s="1">
        <f t="shared" si="3"/>
        <v>0</v>
      </c>
    </row>
    <row r="14" spans="1:13" ht="15">
      <c r="A14" s="7">
        <v>44081</v>
      </c>
      <c r="B14" t="s">
        <v>78</v>
      </c>
      <c r="C14" t="s">
        <v>77</v>
      </c>
      <c r="D14" t="str">
        <f>Summary!$E$19</f>
        <v>Merchandise</v>
      </c>
      <c r="E14" s="67" t="str">
        <f>Summary!$H$31</f>
        <v>None</v>
      </c>
      <c r="G14" s="1">
        <v>0.19</v>
      </c>
      <c r="H14" s="2">
        <f t="shared" ref="H14:H57" si="5">H13+G14</f>
        <v>1258.6400000000001</v>
      </c>
      <c r="L14" s="1">
        <f t="shared" ref="L14:L35" si="6">IF(G14&gt; 0, G14, 0)</f>
        <v>0.19</v>
      </c>
      <c r="M14" s="1">
        <f t="shared" ref="M14:M35" si="7">IF(G14&lt;0, G14, 0)</f>
        <v>0</v>
      </c>
    </row>
    <row r="15" spans="1:13" ht="15">
      <c r="A15" s="7">
        <v>44082</v>
      </c>
      <c r="B15" t="s">
        <v>79</v>
      </c>
      <c r="C15" t="s">
        <v>80</v>
      </c>
      <c r="D15" t="str">
        <f>Summary!$E$19</f>
        <v>Merchandise</v>
      </c>
      <c r="E15" s="67" t="str">
        <f>Summary!$H$31</f>
        <v>None</v>
      </c>
      <c r="G15" s="1">
        <v>-18.399999999999999</v>
      </c>
      <c r="H15" s="2">
        <f t="shared" si="5"/>
        <v>1240.24</v>
      </c>
      <c r="L15" s="1">
        <f t="shared" si="6"/>
        <v>0</v>
      </c>
      <c r="M15" s="1">
        <f t="shared" si="7"/>
        <v>-18.399999999999999</v>
      </c>
    </row>
    <row r="16" spans="1:13" ht="15">
      <c r="A16" s="7">
        <v>44082</v>
      </c>
      <c r="B16" t="s">
        <v>81</v>
      </c>
      <c r="C16" t="s">
        <v>82</v>
      </c>
      <c r="D16" t="str">
        <f>Summary!$E$19</f>
        <v>Merchandise</v>
      </c>
      <c r="E16" s="67" t="str">
        <f>Summary!$H$31</f>
        <v>None</v>
      </c>
      <c r="G16" s="1">
        <v>50</v>
      </c>
      <c r="H16" s="2">
        <f t="shared" si="5"/>
        <v>1290.24</v>
      </c>
      <c r="L16" s="1">
        <f t="shared" si="6"/>
        <v>50</v>
      </c>
      <c r="M16" s="1">
        <f t="shared" si="7"/>
        <v>0</v>
      </c>
    </row>
    <row r="17" spans="1:13" ht="15">
      <c r="A17" s="7">
        <v>44082</v>
      </c>
      <c r="B17" t="s">
        <v>83</v>
      </c>
      <c r="C17" t="s">
        <v>84</v>
      </c>
      <c r="D17" t="str">
        <f>Summary!$E$19</f>
        <v>Merchandise</v>
      </c>
      <c r="E17" s="67" t="str">
        <f>Summary!$H$31</f>
        <v>None</v>
      </c>
      <c r="G17" s="1">
        <v>268.68</v>
      </c>
      <c r="H17" s="2">
        <f t="shared" si="5"/>
        <v>1558.92</v>
      </c>
      <c r="L17" s="1">
        <f t="shared" si="6"/>
        <v>268.68</v>
      </c>
      <c r="M17" s="1">
        <f t="shared" si="7"/>
        <v>0</v>
      </c>
    </row>
    <row r="18" spans="1:13" ht="15">
      <c r="A18" s="7">
        <v>44088</v>
      </c>
      <c r="B18" t="s">
        <v>85</v>
      </c>
      <c r="C18" t="s">
        <v>84</v>
      </c>
      <c r="D18" t="str">
        <f>Summary!$E$19</f>
        <v>Merchandise</v>
      </c>
      <c r="E18" s="67" t="str">
        <f>Summary!$H$31</f>
        <v>None</v>
      </c>
      <c r="G18" s="1">
        <v>83.21</v>
      </c>
      <c r="H18" s="2">
        <f t="shared" si="5"/>
        <v>1642.13</v>
      </c>
      <c r="L18" s="1">
        <f t="shared" si="6"/>
        <v>83.21</v>
      </c>
      <c r="M18" s="1">
        <f t="shared" si="7"/>
        <v>0</v>
      </c>
    </row>
    <row r="19" spans="1:13" ht="15">
      <c r="A19" s="7">
        <v>44089</v>
      </c>
      <c r="B19" t="s">
        <v>86</v>
      </c>
      <c r="C19" t="s">
        <v>87</v>
      </c>
      <c r="D19" t="str">
        <f>Summary!$E$22</f>
        <v>Social</v>
      </c>
      <c r="E19" s="47" t="str">
        <f>Summary!$H$30</f>
        <v>Preseason dinner</v>
      </c>
      <c r="G19" s="1">
        <v>120</v>
      </c>
      <c r="H19" s="2">
        <f t="shared" si="5"/>
        <v>1762.13</v>
      </c>
      <c r="L19" s="1">
        <f t="shared" si="6"/>
        <v>120</v>
      </c>
      <c r="M19" s="1">
        <f t="shared" si="7"/>
        <v>0</v>
      </c>
    </row>
    <row r="20" spans="1:13" ht="15">
      <c r="A20" s="7">
        <v>44090</v>
      </c>
      <c r="B20" t="s">
        <v>88</v>
      </c>
      <c r="C20" t="s">
        <v>89</v>
      </c>
      <c r="D20" t="str">
        <f>Summary!$E$19</f>
        <v>Merchandise</v>
      </c>
      <c r="E20" s="67" t="str">
        <f>Summary!$H$31</f>
        <v>None</v>
      </c>
      <c r="G20" s="1">
        <v>43.91</v>
      </c>
      <c r="H20" s="2">
        <f t="shared" si="5"/>
        <v>1806.0400000000002</v>
      </c>
      <c r="L20" s="1">
        <f t="shared" si="6"/>
        <v>43.91</v>
      </c>
      <c r="M20" s="1">
        <f t="shared" si="7"/>
        <v>0</v>
      </c>
    </row>
    <row r="21" spans="1:13" ht="15">
      <c r="A21" s="7">
        <v>44092</v>
      </c>
      <c r="B21" t="s">
        <v>90</v>
      </c>
      <c r="C21" t="s">
        <v>89</v>
      </c>
      <c r="D21" t="str">
        <f>Summary!$E$19</f>
        <v>Merchandise</v>
      </c>
      <c r="E21" s="67" t="str">
        <f>Summary!$H$31</f>
        <v>None</v>
      </c>
      <c r="G21" s="1">
        <v>205.13</v>
      </c>
      <c r="H21" s="2">
        <f t="shared" si="5"/>
        <v>2011.17</v>
      </c>
      <c r="L21" s="1">
        <f t="shared" si="6"/>
        <v>205.13</v>
      </c>
      <c r="M21" s="1">
        <f t="shared" si="7"/>
        <v>0</v>
      </c>
    </row>
    <row r="22" spans="1:13">
      <c r="A22" s="7">
        <v>44094</v>
      </c>
      <c r="B22" t="s">
        <v>91</v>
      </c>
      <c r="C22" t="s">
        <v>92</v>
      </c>
      <c r="D22" t="str">
        <f>Summary!$E$22</f>
        <v>Social</v>
      </c>
      <c r="E22" s="47" t="str">
        <f>Summary!$H$30</f>
        <v>Preseason dinner</v>
      </c>
      <c r="G22" s="1">
        <v>-185.22</v>
      </c>
      <c r="H22" s="2">
        <f t="shared" si="5"/>
        <v>1825.95</v>
      </c>
      <c r="L22" s="1">
        <f t="shared" si="6"/>
        <v>0</v>
      </c>
      <c r="M22" s="1">
        <f t="shared" si="7"/>
        <v>-185.22</v>
      </c>
    </row>
    <row r="23" spans="1:13">
      <c r="A23" s="7">
        <v>44094</v>
      </c>
      <c r="B23" t="s">
        <v>93</v>
      </c>
      <c r="C23" t="s">
        <v>94</v>
      </c>
      <c r="D23" t="str">
        <f>Summary!$E$22</f>
        <v>Social</v>
      </c>
      <c r="E23" s="47" t="str">
        <f>Summary!$H$30</f>
        <v>Preseason dinner</v>
      </c>
      <c r="G23" s="1">
        <v>-948.5</v>
      </c>
      <c r="H23" s="2">
        <f t="shared" si="5"/>
        <v>877.45</v>
      </c>
      <c r="L23" s="1">
        <f t="shared" si="6"/>
        <v>0</v>
      </c>
      <c r="M23" s="1">
        <f t="shared" si="7"/>
        <v>-948.5</v>
      </c>
    </row>
    <row r="24" spans="1:13" ht="15">
      <c r="A24" s="7">
        <v>44094</v>
      </c>
      <c r="B24" t="s">
        <v>95</v>
      </c>
      <c r="C24" t="s">
        <v>96</v>
      </c>
      <c r="D24" t="str">
        <f>Summary!$E$22</f>
        <v>Social</v>
      </c>
      <c r="E24" s="47" t="str">
        <f>Summary!$H$30</f>
        <v>Preseason dinner</v>
      </c>
      <c r="G24" s="1">
        <v>-66</v>
      </c>
      <c r="H24" s="2">
        <f t="shared" si="5"/>
        <v>811.45</v>
      </c>
      <c r="L24" s="1">
        <f t="shared" si="6"/>
        <v>0</v>
      </c>
      <c r="M24" s="1">
        <f t="shared" si="7"/>
        <v>-66</v>
      </c>
    </row>
    <row r="25" spans="1:13">
      <c r="A25" s="7">
        <v>44095</v>
      </c>
      <c r="B25" t="s">
        <v>97</v>
      </c>
      <c r="C25" t="s">
        <v>89</v>
      </c>
      <c r="D25" t="str">
        <f>Summary!$E$19</f>
        <v>Merchandise</v>
      </c>
      <c r="E25" s="67" t="str">
        <f>Summary!$H$31</f>
        <v>None</v>
      </c>
      <c r="G25" s="1">
        <v>93.04</v>
      </c>
      <c r="H25" s="2">
        <f t="shared" si="5"/>
        <v>904.49</v>
      </c>
      <c r="L25" s="1">
        <f t="shared" si="6"/>
        <v>93.04</v>
      </c>
      <c r="M25" s="1">
        <f t="shared" si="7"/>
        <v>0</v>
      </c>
    </row>
    <row r="26" spans="1:13">
      <c r="A26" s="7">
        <v>44096</v>
      </c>
      <c r="B26" t="s">
        <v>98</v>
      </c>
      <c r="C26" t="s">
        <v>99</v>
      </c>
      <c r="D26" t="str">
        <f>Summary!$E$20</f>
        <v>Transfer</v>
      </c>
      <c r="E26" s="67" t="str">
        <f>Summary!$H$31</f>
        <v>None</v>
      </c>
      <c r="G26" s="1">
        <v>3000</v>
      </c>
      <c r="H26" s="2">
        <f t="shared" si="5"/>
        <v>3904.49</v>
      </c>
      <c r="L26" s="1">
        <f t="shared" si="6"/>
        <v>3000</v>
      </c>
      <c r="M26" s="1">
        <f t="shared" si="7"/>
        <v>0</v>
      </c>
    </row>
    <row r="27" spans="1:13">
      <c r="A27" s="7">
        <v>44097</v>
      </c>
      <c r="B27" t="s">
        <v>100</v>
      </c>
      <c r="C27" s="51" t="s">
        <v>101</v>
      </c>
      <c r="D27" t="str">
        <f>Summary!$E$22</f>
        <v>Social</v>
      </c>
      <c r="E27" s="47" t="str">
        <f>Summary!$H$30</f>
        <v>Preseason dinner</v>
      </c>
      <c r="G27" s="1">
        <v>-1380</v>
      </c>
      <c r="H27" s="2">
        <f t="shared" si="5"/>
        <v>2524.4899999999998</v>
      </c>
      <c r="L27" s="1">
        <f t="shared" si="6"/>
        <v>0</v>
      </c>
      <c r="M27" s="1">
        <f t="shared" si="7"/>
        <v>-1380</v>
      </c>
    </row>
    <row r="28" spans="1:13" s="72" customFormat="1">
      <c r="A28" s="79">
        <v>44098</v>
      </c>
      <c r="B28" s="72" t="s">
        <v>102</v>
      </c>
      <c r="C28" s="72" t="s">
        <v>103</v>
      </c>
      <c r="D28" s="72" t="str">
        <f>Summary!$E$19</f>
        <v>Merchandise</v>
      </c>
      <c r="E28" s="80" t="str">
        <f>Summary!$H$31</f>
        <v>None</v>
      </c>
      <c r="G28" s="74">
        <v>-83.21</v>
      </c>
      <c r="H28" s="73">
        <f t="shared" si="5"/>
        <v>2441.2799999999997</v>
      </c>
      <c r="J28" s="74"/>
      <c r="L28" s="74">
        <f t="shared" si="6"/>
        <v>0</v>
      </c>
      <c r="M28" s="74">
        <f t="shared" si="7"/>
        <v>-83.21</v>
      </c>
    </row>
    <row r="29" spans="1:13">
      <c r="A29" s="7">
        <v>44103</v>
      </c>
      <c r="B29" t="s">
        <v>104</v>
      </c>
      <c r="C29" t="s">
        <v>89</v>
      </c>
      <c r="D29" t="str">
        <f>Summary!$E$19</f>
        <v>Merchandise</v>
      </c>
      <c r="E29" s="67" t="str">
        <f>Summary!$H$31</f>
        <v>None</v>
      </c>
      <c r="G29" s="1">
        <v>58.65</v>
      </c>
      <c r="H29" s="2">
        <f t="shared" si="5"/>
        <v>2499.9299999999998</v>
      </c>
      <c r="L29" s="1">
        <f t="shared" si="6"/>
        <v>58.65</v>
      </c>
      <c r="M29" s="1">
        <f t="shared" si="7"/>
        <v>0</v>
      </c>
    </row>
    <row r="30" spans="1:13">
      <c r="A30" s="7">
        <v>44104</v>
      </c>
      <c r="B30" t="s">
        <v>105</v>
      </c>
      <c r="C30" t="s">
        <v>13</v>
      </c>
      <c r="D30" t="str">
        <f>Summary!$E$13</f>
        <v>Interest</v>
      </c>
      <c r="E30" s="67" t="str">
        <f>Summary!$H$31</f>
        <v>None</v>
      </c>
      <c r="G30" s="1">
        <v>0.1</v>
      </c>
      <c r="H30" s="2">
        <f t="shared" si="5"/>
        <v>2500.0299999999997</v>
      </c>
      <c r="L30" s="1">
        <f t="shared" si="6"/>
        <v>0.1</v>
      </c>
      <c r="M30" s="1">
        <f t="shared" si="7"/>
        <v>0</v>
      </c>
    </row>
    <row r="31" spans="1:13">
      <c r="A31" s="7">
        <v>44112</v>
      </c>
      <c r="B31" t="s">
        <v>106</v>
      </c>
      <c r="C31" t="s">
        <v>107</v>
      </c>
      <c r="D31" t="str">
        <f>Summary!$E$19</f>
        <v>Merchandise</v>
      </c>
      <c r="E31" s="67" t="str">
        <f>Summary!$H$31</f>
        <v>None</v>
      </c>
      <c r="G31" s="1">
        <v>-545.04999999999995</v>
      </c>
      <c r="H31" s="2">
        <f t="shared" si="5"/>
        <v>1954.9799999999998</v>
      </c>
      <c r="L31" s="1">
        <f t="shared" si="6"/>
        <v>0</v>
      </c>
      <c r="M31" s="1">
        <f t="shared" si="7"/>
        <v>-545.04999999999995</v>
      </c>
    </row>
    <row r="32" spans="1:13" ht="15">
      <c r="A32" s="7">
        <v>44114</v>
      </c>
      <c r="B32" t="s">
        <v>108</v>
      </c>
      <c r="C32" s="43" t="s">
        <v>109</v>
      </c>
      <c r="D32" t="str">
        <f>Summary!$E$22</f>
        <v>Social</v>
      </c>
      <c r="E32" s="47" t="str">
        <f>Summary!$H$19</f>
        <v>October post-match social</v>
      </c>
      <c r="G32" s="1">
        <v>-199.8</v>
      </c>
      <c r="H32" s="2">
        <f t="shared" si="5"/>
        <v>1755.1799999999998</v>
      </c>
      <c r="L32" s="1">
        <f t="shared" si="6"/>
        <v>0</v>
      </c>
      <c r="M32" s="1">
        <f t="shared" si="7"/>
        <v>-199.8</v>
      </c>
    </row>
    <row r="33" spans="1:13">
      <c r="A33" s="7">
        <v>44116</v>
      </c>
      <c r="B33" t="s">
        <v>110</v>
      </c>
      <c r="C33" t="s">
        <v>89</v>
      </c>
      <c r="D33" t="str">
        <f>Summary!$E$19</f>
        <v>Merchandise</v>
      </c>
      <c r="E33" s="67" t="str">
        <f>Summary!$H$31</f>
        <v>None</v>
      </c>
      <c r="G33" s="1">
        <v>93.04</v>
      </c>
      <c r="H33" s="2">
        <f t="shared" si="5"/>
        <v>1848.2199999999998</v>
      </c>
      <c r="L33" s="1">
        <f t="shared" si="6"/>
        <v>93.04</v>
      </c>
      <c r="M33" s="1">
        <f t="shared" si="7"/>
        <v>0</v>
      </c>
    </row>
    <row r="34" spans="1:13">
      <c r="A34" s="7">
        <v>44125</v>
      </c>
      <c r="B34" t="s">
        <v>111</v>
      </c>
      <c r="C34" t="s">
        <v>89</v>
      </c>
      <c r="D34" t="str">
        <f>Summary!$E$19</f>
        <v>Merchandise</v>
      </c>
      <c r="E34" s="67" t="str">
        <f>Summary!$H$31</f>
        <v>None</v>
      </c>
      <c r="G34" s="1">
        <v>34.090000000000003</v>
      </c>
      <c r="H34" s="2">
        <f t="shared" si="5"/>
        <v>1882.3099999999997</v>
      </c>
      <c r="L34" s="1">
        <f t="shared" si="6"/>
        <v>34.090000000000003</v>
      </c>
      <c r="M34" s="1">
        <f t="shared" si="7"/>
        <v>0</v>
      </c>
    </row>
    <row r="35" spans="1:13">
      <c r="A35" s="7">
        <v>44135</v>
      </c>
      <c r="B35" t="s">
        <v>112</v>
      </c>
      <c r="C35" t="s">
        <v>13</v>
      </c>
      <c r="D35" t="str">
        <f>Summary!$E$13</f>
        <v>Interest</v>
      </c>
      <c r="E35" s="67" t="str">
        <f>Summary!$H$31</f>
        <v>None</v>
      </c>
      <c r="G35" s="1">
        <v>0.22</v>
      </c>
      <c r="H35" s="2">
        <f t="shared" si="5"/>
        <v>1882.5299999999997</v>
      </c>
      <c r="L35" s="1">
        <f t="shared" si="6"/>
        <v>0.22</v>
      </c>
      <c r="M35" s="1">
        <f t="shared" si="7"/>
        <v>0</v>
      </c>
    </row>
    <row r="36" spans="1:13">
      <c r="A36" s="7">
        <v>44139</v>
      </c>
      <c r="B36" t="s">
        <v>113</v>
      </c>
      <c r="C36" t="s">
        <v>89</v>
      </c>
      <c r="D36" t="str">
        <f>Summary!$E$19</f>
        <v>Merchandise</v>
      </c>
      <c r="E36" s="67" t="str">
        <f>Summary!$H$31</f>
        <v>None</v>
      </c>
      <c r="G36" s="1">
        <v>43.91</v>
      </c>
      <c r="H36" s="2">
        <f t="shared" si="5"/>
        <v>1926.4399999999998</v>
      </c>
      <c r="L36" s="1">
        <f t="shared" si="2"/>
        <v>43.91</v>
      </c>
      <c r="M36" s="1">
        <f t="shared" si="3"/>
        <v>0</v>
      </c>
    </row>
    <row r="37" spans="1:13">
      <c r="A37" s="7">
        <v>44141</v>
      </c>
      <c r="B37" t="s">
        <v>114</v>
      </c>
      <c r="C37" t="s">
        <v>115</v>
      </c>
      <c r="D37" t="str">
        <f>Summary!$E$22</f>
        <v>Social</v>
      </c>
      <c r="E37" s="47" t="str">
        <f>Summary!$H$16</f>
        <v>October general meeting</v>
      </c>
      <c r="G37" s="1">
        <v>-121.5</v>
      </c>
      <c r="H37" s="2">
        <f t="shared" si="5"/>
        <v>1804.9399999999998</v>
      </c>
      <c r="L37" s="1">
        <f t="shared" si="2"/>
        <v>0</v>
      </c>
      <c r="M37" s="1">
        <f t="shared" si="3"/>
        <v>-121.5</v>
      </c>
    </row>
    <row r="38" spans="1:13">
      <c r="A38" s="7">
        <v>44141</v>
      </c>
      <c r="B38" t="s">
        <v>116</v>
      </c>
      <c r="C38" t="s">
        <v>117</v>
      </c>
      <c r="D38" t="str">
        <f>Summary!$E$19</f>
        <v>Merchandise</v>
      </c>
      <c r="E38" s="67" t="str">
        <f>Summary!$H$31</f>
        <v>None</v>
      </c>
      <c r="G38" s="1">
        <v>-64.95</v>
      </c>
      <c r="H38" s="2">
        <f t="shared" si="5"/>
        <v>1739.9899999999998</v>
      </c>
      <c r="L38" s="1">
        <f t="shared" si="2"/>
        <v>0</v>
      </c>
      <c r="M38" s="1">
        <f t="shared" si="3"/>
        <v>-64.95</v>
      </c>
    </row>
    <row r="39" spans="1:13">
      <c r="A39" s="7">
        <v>44141</v>
      </c>
      <c r="B39" t="s">
        <v>118</v>
      </c>
      <c r="C39" t="s">
        <v>119</v>
      </c>
      <c r="D39" t="str">
        <f>Summary!$E$15</f>
        <v>Venue Hire</v>
      </c>
      <c r="E39" s="47" t="str">
        <f>Summary!$H$14</f>
        <v>Season</v>
      </c>
      <c r="G39" s="1">
        <v>-500</v>
      </c>
      <c r="H39" s="2">
        <f t="shared" si="5"/>
        <v>1239.9899999999998</v>
      </c>
      <c r="L39" s="1">
        <f t="shared" ref="L39:L43" si="8">IF(G39&gt; 0, G39, 0)</f>
        <v>0</v>
      </c>
      <c r="M39" s="1">
        <f t="shared" ref="M39:M43" si="9">IF(G39&lt;0, G39, 0)</f>
        <v>-500</v>
      </c>
    </row>
    <row r="40" spans="1:13">
      <c r="A40" s="7">
        <v>44148</v>
      </c>
      <c r="B40" t="s">
        <v>120</v>
      </c>
      <c r="C40" t="s">
        <v>89</v>
      </c>
      <c r="D40" t="str">
        <f>Summary!$E$19</f>
        <v>Merchandise</v>
      </c>
      <c r="E40" s="67" t="str">
        <f>Summary!$H$31</f>
        <v>None</v>
      </c>
      <c r="G40" s="1">
        <v>34.090000000000003</v>
      </c>
      <c r="H40" s="2">
        <f t="shared" si="5"/>
        <v>1274.0799999999997</v>
      </c>
      <c r="L40" s="1">
        <f t="shared" si="8"/>
        <v>34.090000000000003</v>
      </c>
      <c r="M40" s="1">
        <f t="shared" si="9"/>
        <v>0</v>
      </c>
    </row>
    <row r="41" spans="1:13" ht="15">
      <c r="A41" s="7">
        <v>44155</v>
      </c>
      <c r="B41" t="s">
        <v>121</v>
      </c>
      <c r="C41" s="43" t="s">
        <v>68</v>
      </c>
      <c r="D41" t="str">
        <f>Summary!$E$20</f>
        <v>Transfer</v>
      </c>
      <c r="E41" s="67" t="str">
        <f>Summary!$H$31</f>
        <v>None</v>
      </c>
      <c r="F41" t="str">
        <f>Cash!$B$12</f>
        <v>C11</v>
      </c>
      <c r="G41" s="1">
        <v>128.5</v>
      </c>
      <c r="H41" s="2">
        <f t="shared" si="5"/>
        <v>1402.5799999999997</v>
      </c>
      <c r="L41" s="1">
        <f t="shared" si="8"/>
        <v>128.5</v>
      </c>
      <c r="M41" s="1">
        <f t="shared" si="9"/>
        <v>0</v>
      </c>
    </row>
    <row r="42" spans="1:13">
      <c r="A42" s="7">
        <v>44159</v>
      </c>
      <c r="B42" t="s">
        <v>122</v>
      </c>
      <c r="C42" t="s">
        <v>123</v>
      </c>
      <c r="D42" t="str">
        <f>Summary!$E$21</f>
        <v>Miscellaneous</v>
      </c>
      <c r="E42" s="67" t="str">
        <f>Summary!$H$31</f>
        <v>None</v>
      </c>
      <c r="G42" s="1">
        <v>-560</v>
      </c>
      <c r="H42" s="2">
        <f t="shared" si="5"/>
        <v>842.5799999999997</v>
      </c>
      <c r="L42" s="1">
        <f t="shared" si="8"/>
        <v>0</v>
      </c>
      <c r="M42" s="1">
        <f t="shared" si="9"/>
        <v>-560</v>
      </c>
    </row>
    <row r="43" spans="1:13">
      <c r="A43" s="7">
        <v>44160</v>
      </c>
      <c r="B43" t="s">
        <v>124</v>
      </c>
      <c r="C43" t="s">
        <v>125</v>
      </c>
      <c r="D43" t="str">
        <f>Summary!$E$19</f>
        <v>Merchandise</v>
      </c>
      <c r="E43" s="67" t="str">
        <f>Summary!$H$31</f>
        <v>None</v>
      </c>
      <c r="G43" s="1">
        <v>35</v>
      </c>
      <c r="H43" s="2">
        <f t="shared" si="5"/>
        <v>877.5799999999997</v>
      </c>
      <c r="L43" s="1">
        <f t="shared" si="8"/>
        <v>35</v>
      </c>
      <c r="M43" s="1">
        <f t="shared" si="9"/>
        <v>0</v>
      </c>
    </row>
    <row r="44" spans="1:13">
      <c r="A44" s="7">
        <v>44161</v>
      </c>
      <c r="B44" t="s">
        <v>126</v>
      </c>
      <c r="C44" t="s">
        <v>127</v>
      </c>
      <c r="D44" t="str">
        <f>Summary!$E$19</f>
        <v>Merchandise</v>
      </c>
      <c r="E44" s="67" t="str">
        <f>Summary!$H$31</f>
        <v>None</v>
      </c>
      <c r="G44" s="1">
        <v>-209</v>
      </c>
      <c r="H44" s="2">
        <f t="shared" si="5"/>
        <v>668.5799999999997</v>
      </c>
      <c r="L44" s="1">
        <f t="shared" ref="L44:L50" si="10">IF(G44&gt; 0, G44, 0)</f>
        <v>0</v>
      </c>
      <c r="M44" s="1">
        <f t="shared" ref="M44:M50" si="11">IF(G44&lt;0, G44, 0)</f>
        <v>-209</v>
      </c>
    </row>
    <row r="45" spans="1:13">
      <c r="A45" s="7">
        <v>44165</v>
      </c>
      <c r="B45" t="s">
        <v>128</v>
      </c>
      <c r="C45" t="s">
        <v>13</v>
      </c>
      <c r="D45" t="str">
        <f>Summary!$E$13</f>
        <v>Interest</v>
      </c>
      <c r="E45" s="67" t="str">
        <f>Summary!$H$31</f>
        <v>None</v>
      </c>
      <c r="G45" s="1">
        <v>0.08</v>
      </c>
      <c r="H45" s="2">
        <f t="shared" si="5"/>
        <v>668.65999999999974</v>
      </c>
      <c r="L45" s="1">
        <f t="shared" si="10"/>
        <v>0.08</v>
      </c>
      <c r="M45" s="1">
        <f t="shared" si="11"/>
        <v>0</v>
      </c>
    </row>
    <row r="46" spans="1:13">
      <c r="A46" s="7">
        <v>44188</v>
      </c>
      <c r="B46" t="s">
        <v>129</v>
      </c>
      <c r="C46" t="s">
        <v>130</v>
      </c>
      <c r="D46" t="str">
        <f>Summary!$E$17</f>
        <v>Membership Fee</v>
      </c>
      <c r="E46" s="67" t="str">
        <f>Summary!$H$14</f>
        <v>Season</v>
      </c>
      <c r="G46" s="1">
        <v>5060</v>
      </c>
      <c r="H46" s="2">
        <f t="shared" si="5"/>
        <v>5728.66</v>
      </c>
      <c r="L46" s="1">
        <f t="shared" si="10"/>
        <v>5060</v>
      </c>
      <c r="M46" s="1">
        <f t="shared" si="11"/>
        <v>0</v>
      </c>
    </row>
    <row r="47" spans="1:13">
      <c r="A47" s="7">
        <v>44196</v>
      </c>
      <c r="B47" t="s">
        <v>131</v>
      </c>
      <c r="C47" t="s">
        <v>13</v>
      </c>
      <c r="D47" t="str">
        <f>Summary!$E$13</f>
        <v>Interest</v>
      </c>
      <c r="E47" s="67" t="str">
        <f>Summary!$H$31</f>
        <v>None</v>
      </c>
      <c r="G47" s="1">
        <v>0.08</v>
      </c>
      <c r="H47" s="2">
        <f t="shared" si="5"/>
        <v>5728.74</v>
      </c>
      <c r="L47" s="1">
        <f t="shared" si="10"/>
        <v>0.08</v>
      </c>
      <c r="M47" s="1">
        <f t="shared" si="11"/>
        <v>0</v>
      </c>
    </row>
    <row r="48" spans="1:13">
      <c r="A48" s="7">
        <v>44204</v>
      </c>
      <c r="B48" t="s">
        <v>132</v>
      </c>
      <c r="C48" t="s">
        <v>133</v>
      </c>
      <c r="D48" t="str">
        <f>Summary!$E$23</f>
        <v>Sponsorship</v>
      </c>
      <c r="E48" s="67" t="str">
        <f>Summary!$H$14</f>
        <v>Season</v>
      </c>
      <c r="G48" s="1">
        <v>1000</v>
      </c>
      <c r="H48" s="2">
        <f t="shared" si="5"/>
        <v>6728.74</v>
      </c>
      <c r="L48" s="1">
        <f t="shared" si="10"/>
        <v>1000</v>
      </c>
      <c r="M48" s="1">
        <f t="shared" si="11"/>
        <v>0</v>
      </c>
    </row>
    <row r="49" spans="1:15">
      <c r="A49" s="7">
        <v>44208</v>
      </c>
      <c r="B49" t="s">
        <v>134</v>
      </c>
      <c r="C49" t="s">
        <v>135</v>
      </c>
      <c r="D49" t="str">
        <f>Summary!$E$22</f>
        <v>Social</v>
      </c>
      <c r="E49" s="47" t="str">
        <f>Summary!$H$20</f>
        <v>December general meeting</v>
      </c>
      <c r="G49" s="1">
        <v>-136</v>
      </c>
      <c r="H49" s="2">
        <f t="shared" si="5"/>
        <v>6592.74</v>
      </c>
      <c r="L49" s="1">
        <f>IF(G49&gt; 0, G49, 0)</f>
        <v>0</v>
      </c>
      <c r="M49" s="1">
        <f>IF(G49&lt;0, G49, 0)</f>
        <v>-136</v>
      </c>
    </row>
    <row r="50" spans="1:15">
      <c r="A50" s="7">
        <v>44216</v>
      </c>
      <c r="B50" t="s">
        <v>136</v>
      </c>
      <c r="C50" t="s">
        <v>137</v>
      </c>
      <c r="D50" t="str">
        <f>Summary!$E$17</f>
        <v>Membership Fee</v>
      </c>
      <c r="E50" s="67" t="str">
        <f>Summary!$H$14</f>
        <v>Season</v>
      </c>
      <c r="G50" s="1">
        <v>55</v>
      </c>
      <c r="H50" s="2">
        <f t="shared" si="5"/>
        <v>6647.74</v>
      </c>
      <c r="L50" s="1">
        <f t="shared" si="10"/>
        <v>55</v>
      </c>
      <c r="M50" s="1">
        <f t="shared" si="11"/>
        <v>0</v>
      </c>
    </row>
    <row r="51" spans="1:15">
      <c r="A51" s="7">
        <v>44227</v>
      </c>
      <c r="B51" t="s">
        <v>138</v>
      </c>
      <c r="C51" t="s">
        <v>13</v>
      </c>
      <c r="D51" t="str">
        <f>Summary!$E$13</f>
        <v>Interest</v>
      </c>
      <c r="E51" s="67" t="str">
        <f>Summary!$H$31</f>
        <v>None</v>
      </c>
      <c r="G51" s="1">
        <v>0.72</v>
      </c>
      <c r="H51" s="2">
        <f t="shared" si="5"/>
        <v>6648.46</v>
      </c>
      <c r="L51" s="1">
        <f t="shared" ref="L51:L60" si="12">IF(G51&gt; 0, G51, 0)</f>
        <v>0.72</v>
      </c>
      <c r="M51" s="1">
        <f t="shared" ref="M51:M60" si="13">IF(G51&lt;0, G51, 0)</f>
        <v>0</v>
      </c>
    </row>
    <row r="52" spans="1:15">
      <c r="A52" s="7">
        <v>44229</v>
      </c>
      <c r="B52" t="s">
        <v>139</v>
      </c>
      <c r="C52" t="s">
        <v>140</v>
      </c>
      <c r="D52" t="str">
        <f>Summary!$E$22</f>
        <v>Social</v>
      </c>
      <c r="E52" s="47" t="str">
        <f>Summary!$H$22</f>
        <v>January post-match social</v>
      </c>
      <c r="G52" s="1">
        <v>-36</v>
      </c>
      <c r="H52" s="2">
        <f t="shared" si="5"/>
        <v>6612.46</v>
      </c>
      <c r="L52" s="1">
        <f t="shared" si="12"/>
        <v>0</v>
      </c>
      <c r="M52" s="1">
        <f t="shared" si="13"/>
        <v>-36</v>
      </c>
    </row>
    <row r="53" spans="1:15">
      <c r="A53" s="7">
        <v>44255</v>
      </c>
      <c r="B53" t="s">
        <v>141</v>
      </c>
      <c r="C53" t="s">
        <v>13</v>
      </c>
      <c r="D53" t="str">
        <f>Summary!$E$13</f>
        <v>Interest</v>
      </c>
      <c r="E53" s="67" t="str">
        <f>Summary!$H$31</f>
        <v>None</v>
      </c>
      <c r="G53" s="1">
        <v>0.76</v>
      </c>
      <c r="H53" s="2">
        <f t="shared" si="5"/>
        <v>6613.22</v>
      </c>
      <c r="L53" s="1">
        <f t="shared" si="12"/>
        <v>0.76</v>
      </c>
      <c r="M53" s="1">
        <f t="shared" si="13"/>
        <v>0</v>
      </c>
    </row>
    <row r="54" spans="1:15">
      <c r="A54" s="7">
        <v>44258</v>
      </c>
      <c r="B54" t="s">
        <v>142</v>
      </c>
      <c r="C54" t="s">
        <v>143</v>
      </c>
      <c r="D54" t="str">
        <f>Summary!$E$22</f>
        <v>Social</v>
      </c>
      <c r="E54" s="67" t="str">
        <f>Summary!$H$23</f>
        <v>January general meeting</v>
      </c>
      <c r="G54" s="1">
        <v>-122</v>
      </c>
      <c r="H54" s="2">
        <f t="shared" si="5"/>
        <v>6491.22</v>
      </c>
      <c r="L54" s="1">
        <f t="shared" si="12"/>
        <v>0</v>
      </c>
      <c r="M54" s="1">
        <f t="shared" si="13"/>
        <v>-122</v>
      </c>
    </row>
    <row r="55" spans="1:15">
      <c r="A55" s="7">
        <v>44258</v>
      </c>
      <c r="B55" t="s">
        <v>144</v>
      </c>
      <c r="C55" t="s">
        <v>145</v>
      </c>
      <c r="D55" t="str">
        <f>Summary!$E$22</f>
        <v>Social</v>
      </c>
      <c r="E55" s="47" t="str">
        <f>Summary!$H$24</f>
        <v>February general meeting</v>
      </c>
      <c r="G55" s="1">
        <v>-206</v>
      </c>
      <c r="H55" s="2">
        <f t="shared" si="5"/>
        <v>6285.22</v>
      </c>
      <c r="L55" s="1">
        <f t="shared" si="12"/>
        <v>0</v>
      </c>
      <c r="M55" s="1">
        <f t="shared" si="13"/>
        <v>-206</v>
      </c>
    </row>
    <row r="56" spans="1:15">
      <c r="A56" s="7">
        <v>44258</v>
      </c>
      <c r="B56" t="s">
        <v>146</v>
      </c>
      <c r="C56" t="s">
        <v>147</v>
      </c>
      <c r="D56" t="str">
        <f>Summary!$E$17</f>
        <v>Membership Fee</v>
      </c>
      <c r="E56" s="67" t="str">
        <f>Summary!$H$14</f>
        <v>Season</v>
      </c>
      <c r="G56" s="1">
        <v>-55</v>
      </c>
      <c r="H56" s="2">
        <f t="shared" si="5"/>
        <v>6230.22</v>
      </c>
      <c r="L56" s="1">
        <f t="shared" si="12"/>
        <v>0</v>
      </c>
      <c r="M56" s="1">
        <f t="shared" si="13"/>
        <v>-55</v>
      </c>
    </row>
    <row r="57" spans="1:15" s="51" customFormat="1" ht="15">
      <c r="A57" s="50">
        <v>44258</v>
      </c>
      <c r="B57" t="s">
        <v>148</v>
      </c>
      <c r="C57" s="51" t="s">
        <v>149</v>
      </c>
      <c r="D57" t="str">
        <f>Summary!$E$17</f>
        <v>Membership Fee</v>
      </c>
      <c r="E57" s="67" t="str">
        <f>Summary!$H$14</f>
        <v>Season</v>
      </c>
      <c r="G57" s="1">
        <v>-55</v>
      </c>
      <c r="H57" s="2">
        <f t="shared" si="5"/>
        <v>6175.22</v>
      </c>
      <c r="J57" s="52"/>
      <c r="L57" s="1">
        <f t="shared" si="12"/>
        <v>0</v>
      </c>
      <c r="M57" s="1">
        <f t="shared" si="13"/>
        <v>-55</v>
      </c>
      <c r="O57"/>
    </row>
    <row r="58" spans="1:15">
      <c r="D58" s="51"/>
      <c r="H58" s="2"/>
      <c r="L58" s="1">
        <f t="shared" si="12"/>
        <v>0</v>
      </c>
      <c r="M58" s="1">
        <f t="shared" si="13"/>
        <v>0</v>
      </c>
    </row>
    <row r="59" spans="1:15">
      <c r="H59" s="2"/>
      <c r="L59" s="1">
        <f t="shared" si="12"/>
        <v>0</v>
      </c>
      <c r="M59" s="1">
        <f t="shared" si="13"/>
        <v>0</v>
      </c>
    </row>
    <row r="60" spans="1:15" ht="15">
      <c r="C60" s="43"/>
      <c r="H60" s="2"/>
      <c r="L60" s="1">
        <f t="shared" si="12"/>
        <v>0</v>
      </c>
      <c r="M60" s="1">
        <f t="shared" si="13"/>
        <v>0</v>
      </c>
    </row>
    <row r="61" spans="1:15">
      <c r="H61" s="2"/>
      <c r="L61" s="1">
        <f t="shared" ref="L61" si="14">IF(G61&gt; 0, G61, 0)</f>
        <v>0</v>
      </c>
      <c r="M61" s="1">
        <f t="shared" ref="M61" si="15">IF(G61&lt;0, G61, 0)</f>
        <v>0</v>
      </c>
    </row>
    <row r="62" spans="1:15">
      <c r="H62" s="2"/>
      <c r="L62" s="1">
        <f t="shared" ref="L62" si="16">IF(G62&gt; 0, G62, 0)</f>
        <v>0</v>
      </c>
      <c r="M62" s="1">
        <f t="shared" ref="M62" si="17">IF(G62&lt;0, G62, 0)</f>
        <v>0</v>
      </c>
    </row>
    <row r="63" spans="1:15">
      <c r="H63" s="2"/>
      <c r="L63" s="1">
        <f t="shared" ref="L63:L66" si="18">IF(G63&gt; 0, G63, 0)</f>
        <v>0</v>
      </c>
      <c r="M63" s="1">
        <f t="shared" ref="M63:M66" si="19">IF(G63&lt;0, G63, 0)</f>
        <v>0</v>
      </c>
    </row>
    <row r="64" spans="1:15">
      <c r="H64" s="2"/>
      <c r="L64" s="1">
        <f t="shared" si="18"/>
        <v>0</v>
      </c>
      <c r="M64" s="1">
        <f t="shared" si="19"/>
        <v>0</v>
      </c>
    </row>
    <row r="65" spans="3:13">
      <c r="H65" s="2"/>
      <c r="L65" s="1">
        <f t="shared" si="18"/>
        <v>0</v>
      </c>
      <c r="M65" s="1">
        <f t="shared" si="19"/>
        <v>0</v>
      </c>
    </row>
    <row r="66" spans="3:13">
      <c r="E66" s="69"/>
      <c r="H66" s="2"/>
      <c r="L66" s="1">
        <f t="shared" si="18"/>
        <v>0</v>
      </c>
      <c r="M66" s="1">
        <f t="shared" si="19"/>
        <v>0</v>
      </c>
    </row>
    <row r="67" spans="3:13">
      <c r="H67" s="2"/>
      <c r="L67" s="1">
        <f t="shared" ref="L67" si="20">IF(G67&gt; 0, G67, 0)</f>
        <v>0</v>
      </c>
      <c r="M67" s="1">
        <f t="shared" ref="M67" si="21">IF(G67&lt;0, G67, 0)</f>
        <v>0</v>
      </c>
    </row>
    <row r="68" spans="3:13">
      <c r="E68" s="69"/>
      <c r="H68" s="2"/>
      <c r="L68" s="1">
        <f t="shared" ref="L68" si="22">IF(G68&gt; 0, G68, 0)</f>
        <v>0</v>
      </c>
      <c r="M68" s="1">
        <f t="shared" ref="M68" si="23">IF(G68&lt;0, G68, 0)</f>
        <v>0</v>
      </c>
    </row>
    <row r="69" spans="3:13" ht="15">
      <c r="C69" s="43"/>
      <c r="H69" s="2"/>
      <c r="L69" s="1">
        <f t="shared" ref="L69" si="24">IF(G69&gt; 0, G69, 0)</f>
        <v>0</v>
      </c>
      <c r="M69" s="1">
        <f t="shared" ref="M69" si="25">IF(G69&lt;0, G69, 0)</f>
        <v>0</v>
      </c>
    </row>
    <row r="70" spans="3:13">
      <c r="H70" s="2"/>
      <c r="L70" s="1">
        <f t="shared" ref="L70:L77" si="26">IF(G70&gt; 0, G70, 0)</f>
        <v>0</v>
      </c>
      <c r="M70" s="1">
        <f t="shared" ref="M70:M77" si="27">IF(G70&lt;0, G70, 0)</f>
        <v>0</v>
      </c>
    </row>
    <row r="71" spans="3:13">
      <c r="H71" s="2"/>
      <c r="L71" s="1">
        <f t="shared" si="26"/>
        <v>0</v>
      </c>
      <c r="M71" s="1">
        <f t="shared" si="27"/>
        <v>0</v>
      </c>
    </row>
    <row r="72" spans="3:13">
      <c r="H72" s="2"/>
      <c r="L72" s="1">
        <f t="shared" si="26"/>
        <v>0</v>
      </c>
      <c r="M72" s="1">
        <f t="shared" si="27"/>
        <v>0</v>
      </c>
    </row>
    <row r="73" spans="3:13">
      <c r="H73" s="2"/>
      <c r="L73" s="1">
        <f t="shared" si="26"/>
        <v>0</v>
      </c>
      <c r="M73" s="1">
        <f t="shared" si="27"/>
        <v>0</v>
      </c>
    </row>
    <row r="74" spans="3:13">
      <c r="D74" s="51"/>
      <c r="H74" s="2"/>
      <c r="L74" s="1">
        <f t="shared" si="26"/>
        <v>0</v>
      </c>
      <c r="M74" s="1">
        <f t="shared" si="27"/>
        <v>0</v>
      </c>
    </row>
    <row r="75" spans="3:13">
      <c r="D75" s="51"/>
      <c r="E75" s="69"/>
      <c r="H75" s="2"/>
      <c r="L75" s="1">
        <f t="shared" si="26"/>
        <v>0</v>
      </c>
      <c r="M75" s="1">
        <f t="shared" si="27"/>
        <v>0</v>
      </c>
    </row>
    <row r="76" spans="3:13">
      <c r="D76" s="51"/>
      <c r="E76" s="69"/>
      <c r="H76" s="2"/>
      <c r="L76" s="1">
        <f t="shared" si="26"/>
        <v>0</v>
      </c>
      <c r="M76" s="1">
        <f t="shared" si="27"/>
        <v>0</v>
      </c>
    </row>
    <row r="77" spans="3:13">
      <c r="H77" s="2"/>
      <c r="L77" s="1">
        <f t="shared" si="26"/>
        <v>0</v>
      </c>
      <c r="M77" s="1">
        <f t="shared" si="27"/>
        <v>0</v>
      </c>
    </row>
    <row r="78" spans="3:13">
      <c r="E78" s="69"/>
      <c r="H78" s="2"/>
      <c r="L78" s="1">
        <f t="shared" ref="L78:L81" si="28">IF(G78&gt; 0, G78, 0)</f>
        <v>0</v>
      </c>
      <c r="M78" s="1">
        <f t="shared" ref="M78:M81" si="29">IF(G78&lt;0, G78, 0)</f>
        <v>0</v>
      </c>
    </row>
    <row r="79" spans="3:13">
      <c r="E79" s="69"/>
      <c r="H79" s="2"/>
      <c r="L79" s="1">
        <f t="shared" si="28"/>
        <v>0</v>
      </c>
      <c r="M79" s="1">
        <f t="shared" si="29"/>
        <v>0</v>
      </c>
    </row>
    <row r="80" spans="3:13">
      <c r="E80" s="69"/>
      <c r="H80" s="2"/>
      <c r="L80" s="1">
        <f t="shared" si="28"/>
        <v>0</v>
      </c>
      <c r="M80" s="1">
        <f t="shared" si="29"/>
        <v>0</v>
      </c>
    </row>
    <row r="81" spans="1:13">
      <c r="E81" s="69"/>
      <c r="H81" s="2"/>
      <c r="L81" s="1">
        <f t="shared" si="28"/>
        <v>0</v>
      </c>
      <c r="M81" s="1">
        <f t="shared" si="29"/>
        <v>0</v>
      </c>
    </row>
    <row r="82" spans="1:13">
      <c r="C82" s="51"/>
      <c r="H82" s="2"/>
      <c r="L82" s="1">
        <f t="shared" ref="L82:L88" si="30">IF(G82&gt; 0, G82, 0)</f>
        <v>0</v>
      </c>
      <c r="M82" s="1">
        <f t="shared" ref="M82:M88" si="31">IF(G82&lt;0, G82, 0)</f>
        <v>0</v>
      </c>
    </row>
    <row r="83" spans="1:13">
      <c r="H83" s="2"/>
      <c r="L83" s="1">
        <f t="shared" si="30"/>
        <v>0</v>
      </c>
      <c r="M83" s="1">
        <f t="shared" si="31"/>
        <v>0</v>
      </c>
    </row>
    <row r="84" spans="1:13" s="72" customFormat="1">
      <c r="A84" s="79"/>
      <c r="E84" s="80"/>
      <c r="G84" s="74"/>
      <c r="H84" s="73"/>
      <c r="J84" s="74"/>
      <c r="L84" s="74">
        <f t="shared" si="30"/>
        <v>0</v>
      </c>
      <c r="M84" s="74">
        <f t="shared" si="31"/>
        <v>0</v>
      </c>
    </row>
    <row r="85" spans="1:13">
      <c r="D85" s="51"/>
      <c r="H85" s="2"/>
      <c r="L85" s="1">
        <f t="shared" si="30"/>
        <v>0</v>
      </c>
      <c r="M85" s="1">
        <f t="shared" si="31"/>
        <v>0</v>
      </c>
    </row>
    <row r="86" spans="1:13">
      <c r="E86" s="69"/>
      <c r="H86" s="2"/>
      <c r="L86" s="1">
        <f t="shared" si="30"/>
        <v>0</v>
      </c>
      <c r="M86" s="1">
        <f t="shared" si="31"/>
        <v>0</v>
      </c>
    </row>
    <row r="87" spans="1:13">
      <c r="E87" s="69"/>
      <c r="H87" s="2"/>
      <c r="L87" s="1">
        <f t="shared" si="30"/>
        <v>0</v>
      </c>
      <c r="M87" s="1">
        <f t="shared" si="31"/>
        <v>0</v>
      </c>
    </row>
    <row r="88" spans="1:13">
      <c r="H88" s="2"/>
      <c r="L88" s="1">
        <f t="shared" si="30"/>
        <v>0</v>
      </c>
      <c r="M88" s="1">
        <f t="shared" si="31"/>
        <v>0</v>
      </c>
    </row>
    <row r="89" spans="1:13">
      <c r="E89" s="69"/>
      <c r="H89" s="2"/>
      <c r="L89" s="1">
        <f t="shared" ref="L89:L90" si="32">IF(G89&gt; 0, G89, 0)</f>
        <v>0</v>
      </c>
      <c r="M89" s="1">
        <f t="shared" ref="M89:M90" si="33">IF(G89&lt;0, G89, 0)</f>
        <v>0</v>
      </c>
    </row>
    <row r="90" spans="1:13" s="72" customFormat="1">
      <c r="A90" s="79"/>
      <c r="E90" s="80"/>
      <c r="G90" s="74"/>
      <c r="H90" s="73"/>
      <c r="J90" s="74"/>
      <c r="L90" s="74">
        <f t="shared" si="32"/>
        <v>0</v>
      </c>
      <c r="M90" s="74">
        <f t="shared" si="33"/>
        <v>0</v>
      </c>
    </row>
    <row r="91" spans="1:13">
      <c r="B91" s="72"/>
      <c r="E91" s="69"/>
      <c r="H91" s="73"/>
      <c r="L91" s="74">
        <f t="shared" ref="L91:L95" si="34">IF(G91&gt; 0, G91, 0)</f>
        <v>0</v>
      </c>
      <c r="M91" s="74">
        <f t="shared" ref="M91:M95" si="35">IF(G91&lt;0, G91, 0)</f>
        <v>0</v>
      </c>
    </row>
    <row r="92" spans="1:13">
      <c r="B92" s="72"/>
      <c r="E92" s="69"/>
      <c r="H92" s="73"/>
      <c r="L92" s="74">
        <f t="shared" si="34"/>
        <v>0</v>
      </c>
      <c r="M92" s="74">
        <f t="shared" si="35"/>
        <v>0</v>
      </c>
    </row>
    <row r="93" spans="1:13" s="51" customFormat="1" ht="15">
      <c r="A93" s="50"/>
      <c r="B93" s="75"/>
      <c r="C93" s="76"/>
      <c r="D93"/>
      <c r="E93" s="67"/>
      <c r="F93"/>
      <c r="G93" s="52"/>
      <c r="H93" s="77"/>
      <c r="J93" s="52"/>
      <c r="L93" s="78">
        <f t="shared" si="34"/>
        <v>0</v>
      </c>
      <c r="M93" s="78">
        <f t="shared" si="35"/>
        <v>0</v>
      </c>
    </row>
    <row r="94" spans="1:13" s="51" customFormat="1" ht="15">
      <c r="A94" s="50"/>
      <c r="B94" s="75"/>
      <c r="C94" s="76"/>
      <c r="D94"/>
      <c r="E94" s="69"/>
      <c r="G94" s="52"/>
      <c r="H94" s="77"/>
      <c r="J94" s="52"/>
      <c r="L94" s="78">
        <f t="shared" si="34"/>
        <v>0</v>
      </c>
      <c r="M94" s="78">
        <f t="shared" si="35"/>
        <v>0</v>
      </c>
    </row>
    <row r="95" spans="1:13">
      <c r="B95" s="72"/>
      <c r="E95" s="69"/>
      <c r="H95" s="73"/>
      <c r="L95" s="74">
        <f t="shared" si="34"/>
        <v>0</v>
      </c>
      <c r="M95" s="74">
        <f t="shared" si="35"/>
        <v>0</v>
      </c>
    </row>
    <row r="96" spans="1:13">
      <c r="B96" s="72"/>
      <c r="E96" s="69"/>
      <c r="H96" s="73"/>
      <c r="L96" s="74">
        <f t="shared" ref="L96:L102" si="36">IF(G96&gt; 0, G96, 0)</f>
        <v>0</v>
      </c>
      <c r="M96" s="74">
        <f t="shared" ref="M96:M102" si="37">IF(G96&lt;0, G96, 0)</f>
        <v>0</v>
      </c>
    </row>
    <row r="97" spans="2:13">
      <c r="B97" s="72"/>
      <c r="D97" s="72"/>
      <c r="E97" s="80"/>
      <c r="H97" s="73"/>
      <c r="L97" s="74">
        <f t="shared" si="36"/>
        <v>0</v>
      </c>
      <c r="M97" s="74">
        <f t="shared" si="37"/>
        <v>0</v>
      </c>
    </row>
    <row r="98" spans="2:13">
      <c r="B98" s="72"/>
      <c r="E98" s="69"/>
      <c r="H98" s="73"/>
      <c r="L98" s="74">
        <f t="shared" si="36"/>
        <v>0</v>
      </c>
      <c r="M98" s="74">
        <f t="shared" si="37"/>
        <v>0</v>
      </c>
    </row>
    <row r="99" spans="2:13">
      <c r="B99" s="72"/>
      <c r="E99" s="69"/>
      <c r="H99" s="73"/>
      <c r="L99" s="74">
        <f t="shared" si="36"/>
        <v>0</v>
      </c>
      <c r="M99" s="74">
        <f t="shared" si="37"/>
        <v>0</v>
      </c>
    </row>
    <row r="100" spans="2:13">
      <c r="B100" s="72"/>
      <c r="E100" s="69"/>
      <c r="H100" s="73"/>
      <c r="L100" s="74">
        <f t="shared" si="36"/>
        <v>0</v>
      </c>
      <c r="M100" s="74">
        <f t="shared" si="37"/>
        <v>0</v>
      </c>
    </row>
    <row r="101" spans="2:13">
      <c r="B101" s="72"/>
      <c r="H101" s="73"/>
      <c r="L101" s="74">
        <f t="shared" si="36"/>
        <v>0</v>
      </c>
      <c r="M101" s="74">
        <f t="shared" si="37"/>
        <v>0</v>
      </c>
    </row>
    <row r="102" spans="2:13">
      <c r="B102" s="72"/>
      <c r="E102" s="69"/>
      <c r="H102" s="73"/>
      <c r="L102" s="74">
        <f t="shared" si="36"/>
        <v>0</v>
      </c>
      <c r="M102" s="74">
        <f t="shared" si="37"/>
        <v>0</v>
      </c>
    </row>
    <row r="103" spans="2:13">
      <c r="B103" s="72"/>
      <c r="D103" s="51"/>
      <c r="H103" s="73"/>
      <c r="L103" s="74">
        <f t="shared" ref="L103:L104" si="38">IF(G103&gt; 0, G103, 0)</f>
        <v>0</v>
      </c>
      <c r="M103" s="74">
        <f t="shared" ref="M103:M104" si="39">IF(G103&lt;0, G103, 0)</f>
        <v>0</v>
      </c>
    </row>
    <row r="104" spans="2:13">
      <c r="B104" s="72"/>
      <c r="E104" s="69"/>
      <c r="H104" s="73"/>
      <c r="L104" s="74">
        <f t="shared" si="38"/>
        <v>0</v>
      </c>
      <c r="M104" s="74">
        <f t="shared" si="39"/>
        <v>0</v>
      </c>
    </row>
    <row r="105" spans="2:13">
      <c r="B105" s="72"/>
      <c r="H105" s="73"/>
      <c r="L105" s="74">
        <f t="shared" ref="L105:L106" si="40">IF(G105&gt; 0, G105, 0)</f>
        <v>0</v>
      </c>
      <c r="M105" s="74">
        <f t="shared" ref="M105:M106" si="41">IF(G105&lt;0, G105, 0)</f>
        <v>0</v>
      </c>
    </row>
    <row r="106" spans="2:13">
      <c r="B106" s="72"/>
      <c r="H106" s="73"/>
      <c r="L106" s="74">
        <f t="shared" si="40"/>
        <v>0</v>
      </c>
      <c r="M106" s="74">
        <f t="shared" si="41"/>
        <v>0</v>
      </c>
    </row>
    <row r="107" spans="2:13">
      <c r="B107" s="72"/>
      <c r="H107" s="73"/>
      <c r="L107" s="74">
        <f t="shared" ref="L107" si="42">IF(G107&gt; 0, G107, 0)</f>
        <v>0</v>
      </c>
      <c r="M107" s="74">
        <f t="shared" ref="M107" si="43">IF(G107&lt;0, G107, 0)</f>
        <v>0</v>
      </c>
    </row>
    <row r="108" spans="2:13">
      <c r="B108" s="72"/>
      <c r="E108" s="69"/>
      <c r="H108" s="73"/>
      <c r="L108" s="74">
        <f t="shared" ref="L108:L113" si="44">IF(G108&gt; 0, G108, 0)</f>
        <v>0</v>
      </c>
      <c r="M108" s="74">
        <f t="shared" ref="M108:M113" si="45">IF(G108&lt;0, G108, 0)</f>
        <v>0</v>
      </c>
    </row>
    <row r="109" spans="2:13">
      <c r="B109" s="72"/>
      <c r="E109" s="69"/>
      <c r="H109" s="73"/>
      <c r="L109" s="74">
        <f t="shared" si="44"/>
        <v>0</v>
      </c>
      <c r="M109" s="74">
        <f t="shared" si="45"/>
        <v>0</v>
      </c>
    </row>
    <row r="110" spans="2:13">
      <c r="B110" s="72"/>
      <c r="E110" s="71"/>
      <c r="H110" s="73"/>
      <c r="L110" s="74">
        <f t="shared" si="44"/>
        <v>0</v>
      </c>
      <c r="M110" s="74">
        <f t="shared" si="45"/>
        <v>0</v>
      </c>
    </row>
    <row r="111" spans="2:13">
      <c r="B111" s="72"/>
      <c r="E111" s="71"/>
      <c r="H111" s="73"/>
      <c r="L111" s="74">
        <f t="shared" si="44"/>
        <v>0</v>
      </c>
      <c r="M111" s="74">
        <f t="shared" si="45"/>
        <v>0</v>
      </c>
    </row>
    <row r="112" spans="2:13">
      <c r="B112" s="72"/>
      <c r="E112" s="71"/>
      <c r="H112" s="73"/>
      <c r="L112" s="74">
        <f t="shared" si="44"/>
        <v>0</v>
      </c>
      <c r="M112" s="74">
        <f t="shared" si="45"/>
        <v>0</v>
      </c>
    </row>
    <row r="113" spans="2:13">
      <c r="B113" s="72"/>
      <c r="E113" s="71"/>
      <c r="H113" s="73"/>
      <c r="L113" s="74">
        <f t="shared" si="44"/>
        <v>0</v>
      </c>
      <c r="M113" s="74">
        <f t="shared" si="45"/>
        <v>0</v>
      </c>
    </row>
    <row r="114" spans="2:13">
      <c r="B114" s="72"/>
      <c r="H114" s="73"/>
      <c r="L114" s="74">
        <f t="shared" ref="L114:L116" si="46">IF(G114&gt; 0, G114, 0)</f>
        <v>0</v>
      </c>
      <c r="M114" s="74">
        <f t="shared" ref="M114:M116" si="47">IF(G114&lt;0, G114, 0)</f>
        <v>0</v>
      </c>
    </row>
    <row r="115" spans="2:13">
      <c r="B115" s="72"/>
      <c r="E115" s="71"/>
      <c r="H115" s="73"/>
      <c r="L115" s="74">
        <f t="shared" si="46"/>
        <v>0</v>
      </c>
      <c r="M115" s="74">
        <f t="shared" si="47"/>
        <v>0</v>
      </c>
    </row>
    <row r="116" spans="2:13">
      <c r="B116" s="72"/>
      <c r="H116" s="73"/>
      <c r="L116" s="74">
        <f t="shared" si="46"/>
        <v>0</v>
      </c>
      <c r="M116" s="74">
        <f t="shared" si="47"/>
        <v>0</v>
      </c>
    </row>
    <row r="117" spans="2:13">
      <c r="D117" s="51"/>
      <c r="E117" s="69"/>
      <c r="H117" s="2"/>
    </row>
    <row r="118" spans="2:13">
      <c r="D118" s="51"/>
      <c r="E118" s="69"/>
      <c r="H118" s="2"/>
    </row>
    <row r="119" spans="2:13">
      <c r="H119" s="2"/>
    </row>
    <row r="120" spans="2:13">
      <c r="D120" s="51"/>
      <c r="E120" s="69"/>
      <c r="H120" s="2"/>
    </row>
    <row r="121" spans="2:13">
      <c r="H121" s="2"/>
    </row>
    <row r="122" spans="2:13">
      <c r="C122" s="43"/>
      <c r="H122" s="2"/>
    </row>
    <row r="123" spans="2:13">
      <c r="H123" s="2"/>
    </row>
    <row r="124" spans="2:13">
      <c r="H124" s="2"/>
    </row>
    <row r="125" spans="2:13">
      <c r="D125" s="51"/>
      <c r="E125" s="69"/>
      <c r="H125" s="2"/>
    </row>
    <row r="126" spans="2:13">
      <c r="D126" s="51"/>
      <c r="E126" s="69"/>
      <c r="H126" s="2"/>
    </row>
    <row r="127" spans="2:13">
      <c r="E127" s="69"/>
      <c r="H127" s="2"/>
    </row>
    <row r="128" spans="2:13">
      <c r="H128" s="2"/>
    </row>
    <row r="129" spans="3:8">
      <c r="D129" s="51"/>
      <c r="E129" s="69"/>
      <c r="H129" s="2"/>
    </row>
    <row r="130" spans="3:8">
      <c r="D130" s="51"/>
      <c r="E130" s="69"/>
      <c r="H130" s="2"/>
    </row>
    <row r="131" spans="3:8">
      <c r="H131" s="2"/>
    </row>
    <row r="132" spans="3:8">
      <c r="H132" s="2"/>
    </row>
    <row r="133" spans="3:8">
      <c r="H133" s="2"/>
    </row>
    <row r="134" spans="3:8">
      <c r="H134" s="2"/>
    </row>
    <row r="135" spans="3:8">
      <c r="H135" s="2"/>
    </row>
    <row r="136" spans="3:8">
      <c r="H136" s="2"/>
    </row>
    <row r="137" spans="3:8">
      <c r="H137" s="2"/>
    </row>
    <row r="138" spans="3:8">
      <c r="H138" s="2"/>
    </row>
    <row r="139" spans="3:8">
      <c r="D139" s="51"/>
      <c r="E139" s="69"/>
      <c r="H139" s="2"/>
    </row>
    <row r="140" spans="3:8">
      <c r="C140" s="5"/>
      <c r="H140" s="2"/>
    </row>
    <row r="141" spans="3:8">
      <c r="H141" s="2"/>
    </row>
    <row r="142" spans="3:8">
      <c r="C142" s="57"/>
      <c r="D142" s="57"/>
      <c r="E142" s="70"/>
      <c r="F142" s="57"/>
      <c r="H142" s="2"/>
    </row>
    <row r="143" spans="3:8">
      <c r="C143" s="57"/>
      <c r="D143" s="57"/>
      <c r="E143" s="70"/>
      <c r="F143" s="57"/>
      <c r="H143" s="2"/>
    </row>
    <row r="144" spans="3:8">
      <c r="H144" s="2"/>
    </row>
    <row r="145" spans="4:8">
      <c r="H145" s="2"/>
    </row>
    <row r="146" spans="4:8">
      <c r="H146" s="2"/>
    </row>
    <row r="147" spans="4:8">
      <c r="H147" s="2"/>
    </row>
    <row r="148" spans="4:8">
      <c r="H148" s="2"/>
    </row>
    <row r="149" spans="4:8">
      <c r="H149" s="2"/>
    </row>
    <row r="150" spans="4:8">
      <c r="H150" s="2"/>
    </row>
    <row r="151" spans="4:8">
      <c r="H151" s="2"/>
    </row>
    <row r="152" spans="4:8">
      <c r="H152" s="2"/>
    </row>
    <row r="153" spans="4:8">
      <c r="H153" s="2"/>
    </row>
    <row r="154" spans="4:8">
      <c r="H154" s="2"/>
    </row>
    <row r="155" spans="4:8">
      <c r="H155" s="2"/>
    </row>
    <row r="156" spans="4:8">
      <c r="H156" s="2"/>
    </row>
    <row r="157" spans="4:8">
      <c r="H157" s="2"/>
    </row>
    <row r="158" spans="4:8">
      <c r="D158" s="51"/>
      <c r="E158" s="69"/>
      <c r="H158" s="2"/>
    </row>
    <row r="159" spans="4:8">
      <c r="H159" s="2"/>
    </row>
    <row r="160" spans="4:8">
      <c r="H160" s="2"/>
    </row>
    <row r="161" spans="4:8">
      <c r="H161" s="2"/>
    </row>
    <row r="162" spans="4:8">
      <c r="D162" s="51"/>
      <c r="E162" s="69"/>
      <c r="H162" s="2"/>
    </row>
    <row r="163" spans="4:8">
      <c r="H163" s="2"/>
    </row>
    <row r="164" spans="4:8">
      <c r="H164" s="2"/>
    </row>
    <row r="165" spans="4:8">
      <c r="H165" s="2"/>
    </row>
    <row r="166" spans="4:8">
      <c r="D166" s="51"/>
      <c r="E166" s="69"/>
      <c r="H166" s="2"/>
    </row>
    <row r="167" spans="4:8">
      <c r="H167" s="2"/>
    </row>
    <row r="168" spans="4:8">
      <c r="H168" s="2"/>
    </row>
    <row r="169" spans="4:8">
      <c r="H169" s="2"/>
    </row>
    <row r="170" spans="4:8">
      <c r="H170" s="2"/>
    </row>
    <row r="171" spans="4:8">
      <c r="H171" s="2"/>
    </row>
    <row r="172" spans="4:8">
      <c r="H172" s="2"/>
    </row>
    <row r="173" spans="4:8">
      <c r="H173" s="2"/>
    </row>
    <row r="174" spans="4:8">
      <c r="H174" s="2"/>
    </row>
    <row r="175" spans="4:8">
      <c r="H175" s="2"/>
    </row>
    <row r="176" spans="4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H185" s="2"/>
    </row>
    <row r="186" spans="3:8">
      <c r="H186" s="2"/>
    </row>
    <row r="187" spans="3:8">
      <c r="D187" s="51"/>
      <c r="E187" s="69"/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C192" s="43"/>
      <c r="H192" s="2"/>
    </row>
    <row r="193" spans="3:8">
      <c r="H193" s="2"/>
    </row>
    <row r="194" spans="3:8">
      <c r="H194" s="2"/>
    </row>
    <row r="195" spans="3:8">
      <c r="H195" s="2"/>
    </row>
    <row r="196" spans="3:8">
      <c r="H196" s="2"/>
    </row>
    <row r="197" spans="3:8">
      <c r="H197" s="2"/>
    </row>
    <row r="198" spans="3:8">
      <c r="H198" s="2"/>
    </row>
    <row r="199" spans="3:8">
      <c r="H199" s="2"/>
    </row>
    <row r="200" spans="3:8">
      <c r="H200" s="2"/>
    </row>
    <row r="201" spans="3:8">
      <c r="C201" s="5"/>
      <c r="H201" s="2"/>
    </row>
    <row r="202" spans="3:8">
      <c r="H202" s="2"/>
    </row>
    <row r="203" spans="3:8">
      <c r="H203" s="2"/>
    </row>
    <row r="204" spans="3:8">
      <c r="H204" s="2"/>
    </row>
    <row r="205" spans="3:8">
      <c r="H205" s="2"/>
    </row>
    <row r="206" spans="3:8">
      <c r="H206" s="2"/>
    </row>
    <row r="207" spans="3:8">
      <c r="D207" s="51"/>
      <c r="E207" s="69"/>
      <c r="H207" s="2"/>
    </row>
    <row r="208" spans="3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4:8">
      <c r="D241" s="51"/>
      <c r="E241" s="69"/>
      <c r="H241" s="2"/>
    </row>
    <row r="242" spans="4:8">
      <c r="H242" s="2"/>
    </row>
    <row r="243" spans="4:8">
      <c r="H243" s="2"/>
    </row>
    <row r="244" spans="4:8">
      <c r="H244" s="2"/>
    </row>
    <row r="245" spans="4:8">
      <c r="H245" s="2"/>
    </row>
    <row r="246" spans="4:8">
      <c r="H246" s="2"/>
    </row>
    <row r="247" spans="4:8">
      <c r="H247" s="2"/>
    </row>
    <row r="248" spans="4:8">
      <c r="H248" s="2"/>
    </row>
    <row r="249" spans="4:8">
      <c r="D249" s="51"/>
      <c r="E249" s="69"/>
      <c r="H249" s="2"/>
    </row>
    <row r="250" spans="4:8">
      <c r="D250" s="51"/>
      <c r="H250" s="2"/>
    </row>
    <row r="251" spans="4:8">
      <c r="H251" s="2"/>
    </row>
    <row r="252" spans="4:8">
      <c r="H252" s="2"/>
    </row>
    <row r="253" spans="4:8">
      <c r="H253" s="2"/>
    </row>
    <row r="254" spans="4:8">
      <c r="H254" s="2"/>
    </row>
    <row r="255" spans="4:8">
      <c r="H255" s="2"/>
    </row>
    <row r="256" spans="4:8">
      <c r="H256" s="2"/>
    </row>
    <row r="257" spans="8:8">
      <c r="H257" s="2"/>
    </row>
    <row r="258" spans="8:8">
      <c r="H258" s="2"/>
    </row>
    <row r="259" spans="8:8">
      <c r="H259" s="2"/>
    </row>
    <row r="260" spans="8:8">
      <c r="H260" s="2"/>
    </row>
    <row r="261" spans="8:8">
      <c r="H261" s="2"/>
    </row>
    <row r="262" spans="8:8">
      <c r="H262" s="2"/>
    </row>
    <row r="263" spans="8:8">
      <c r="H263" s="2"/>
    </row>
    <row r="264" spans="8:8">
      <c r="H264" s="2"/>
    </row>
    <row r="265" spans="8:8">
      <c r="H265" s="2"/>
    </row>
    <row r="266" spans="8:8">
      <c r="H266" s="2"/>
    </row>
    <row r="267" spans="8:8">
      <c r="H267" s="2"/>
    </row>
    <row r="268" spans="8:8">
      <c r="H268" s="2"/>
    </row>
    <row r="269" spans="8:8">
      <c r="H269" s="2"/>
    </row>
    <row r="270" spans="8:8">
      <c r="H270" s="2"/>
    </row>
    <row r="271" spans="8:8">
      <c r="H271" s="2"/>
    </row>
    <row r="272" spans="8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/>
    </row>
    <row r="307" spans="8:8">
      <c r="H307" s="2"/>
    </row>
    <row r="308" spans="8:8">
      <c r="H308" s="2"/>
    </row>
    <row r="309" spans="8:8">
      <c r="H309" s="2"/>
    </row>
    <row r="310" spans="8:8">
      <c r="H310" s="2"/>
    </row>
    <row r="311" spans="8:8">
      <c r="H311" s="2"/>
    </row>
    <row r="312" spans="8:8">
      <c r="H312" s="2"/>
    </row>
    <row r="313" spans="8:8">
      <c r="H313" s="2" t="str">
        <f t="shared" ref="H313:H322" si="48">IF(ISBLANK(G313), "", H312+G313)</f>
        <v/>
      </c>
    </row>
    <row r="314" spans="8:8">
      <c r="H314" s="2" t="str">
        <f t="shared" si="48"/>
        <v/>
      </c>
    </row>
    <row r="315" spans="8:8">
      <c r="H315" s="2" t="str">
        <f t="shared" si="48"/>
        <v/>
      </c>
    </row>
    <row r="316" spans="8:8">
      <c r="H316" s="2" t="str">
        <f t="shared" si="48"/>
        <v/>
      </c>
    </row>
    <row r="317" spans="8:8">
      <c r="H317" s="2" t="str">
        <f t="shared" si="48"/>
        <v/>
      </c>
    </row>
    <row r="318" spans="8:8">
      <c r="H318" s="2" t="str">
        <f t="shared" si="48"/>
        <v/>
      </c>
    </row>
    <row r="319" spans="8:8">
      <c r="H319" s="2" t="str">
        <f t="shared" si="48"/>
        <v/>
      </c>
    </row>
    <row r="320" spans="8:8">
      <c r="H320" s="2" t="str">
        <f t="shared" si="48"/>
        <v/>
      </c>
    </row>
    <row r="321" spans="8:8">
      <c r="H321" s="2" t="str">
        <f t="shared" si="48"/>
        <v/>
      </c>
    </row>
    <row r="322" spans="8:8">
      <c r="H322" s="2" t="str">
        <f t="shared" si="48"/>
        <v/>
      </c>
    </row>
  </sheetData>
  <autoFilter ref="A1:H248" xr:uid="{6141766D-C56A-4BA2-B367-5A9FD38DE247}"/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tabSelected="1" workbookViewId="0">
      <selection activeCell="G20" sqref="G20"/>
    </sheetView>
  </sheetViews>
  <sheetFormatPr defaultRowHeight="14.45"/>
  <cols>
    <col min="1" max="1" width="20.7109375" style="7" customWidth="1"/>
    <col min="2" max="2" width="4" bestFit="1" customWidth="1"/>
    <col min="3" max="3" width="54.5703125" bestFit="1" customWidth="1"/>
    <col min="4" max="4" width="20.7109375" customWidth="1"/>
    <col min="5" max="5" width="26.140625" style="67" bestFit="1" customWidth="1"/>
    <col min="6" max="6" width="6.5703125" customWidth="1"/>
    <col min="7" max="7" width="20.7109375" style="1" customWidth="1"/>
    <col min="8" max="8" width="20.7109375" style="44" customWidth="1"/>
    <col min="10" max="10" width="9.140625" style="1"/>
    <col min="12" max="13" width="9.140625" style="49"/>
  </cols>
  <sheetData>
    <row r="1" spans="1:13">
      <c r="A1" s="6" t="s">
        <v>47</v>
      </c>
      <c r="B1" s="3" t="s">
        <v>48</v>
      </c>
      <c r="C1" s="3" t="s">
        <v>49</v>
      </c>
      <c r="D1" s="3" t="s">
        <v>50</v>
      </c>
      <c r="E1" s="68" t="s">
        <v>51</v>
      </c>
      <c r="F1" s="3" t="s">
        <v>52</v>
      </c>
      <c r="G1" s="4" t="s">
        <v>53</v>
      </c>
      <c r="H1" s="46" t="s">
        <v>54</v>
      </c>
      <c r="J1" s="1">
        <f>INDEX(H:H,COUNT(H:H)+1)</f>
        <v>104.25</v>
      </c>
      <c r="L1" s="49" t="s">
        <v>55</v>
      </c>
      <c r="M1" s="49" t="s">
        <v>56</v>
      </c>
    </row>
    <row r="2" spans="1:13" ht="15">
      <c r="A2" s="7">
        <v>43252</v>
      </c>
      <c r="B2" t="s">
        <v>150</v>
      </c>
      <c r="C2" t="s">
        <v>58</v>
      </c>
      <c r="G2" s="1">
        <v>108.1</v>
      </c>
      <c r="H2" s="45">
        <f>G2</f>
        <v>108.1</v>
      </c>
      <c r="L2" s="49">
        <f>IF(G2 &gt; 0, G2, 0)</f>
        <v>108.1</v>
      </c>
      <c r="M2" s="49">
        <f>IF(G2 &lt; 0, G2, 0)</f>
        <v>0</v>
      </c>
    </row>
    <row r="3" spans="1:13">
      <c r="A3" s="7">
        <v>44040</v>
      </c>
      <c r="B3" t="s">
        <v>151</v>
      </c>
      <c r="C3" t="s">
        <v>152</v>
      </c>
      <c r="D3" t="str">
        <f>Summary!$E$14</f>
        <v>Raffle</v>
      </c>
      <c r="E3" s="47" t="str">
        <f>Summary!$H$13</f>
        <v>AGM</v>
      </c>
      <c r="G3" s="1">
        <v>105</v>
      </c>
      <c r="H3" s="45">
        <f>H2+G3</f>
        <v>213.1</v>
      </c>
      <c r="L3" s="49">
        <f>IF(G3 &gt; 0, G3, 0)</f>
        <v>105</v>
      </c>
      <c r="M3" s="49">
        <f>IF(G3 &lt; 0, G3, 0)</f>
        <v>0</v>
      </c>
    </row>
    <row r="4" spans="1:13">
      <c r="A4" s="7">
        <v>44055</v>
      </c>
      <c r="B4" t="s">
        <v>153</v>
      </c>
      <c r="C4" t="s">
        <v>68</v>
      </c>
      <c r="D4" t="str">
        <f>Summary!$E$20</f>
        <v>Transfer</v>
      </c>
      <c r="E4" s="67" t="str">
        <f>Summary!$H$31</f>
        <v>None</v>
      </c>
      <c r="F4" t="str">
        <f>'BOQ Cheque'!$B$8</f>
        <v>B7</v>
      </c>
      <c r="G4" s="1">
        <v>-213.1</v>
      </c>
      <c r="H4" s="45">
        <f>H3+G4</f>
        <v>0</v>
      </c>
      <c r="L4" s="49">
        <f>IF(G4 &gt; 0, G4, 0)</f>
        <v>0</v>
      </c>
      <c r="M4" s="49">
        <f>IF(G4 &lt; 0, G4, 0)</f>
        <v>-213.1</v>
      </c>
    </row>
    <row r="5" spans="1:13">
      <c r="A5" s="7">
        <v>44083</v>
      </c>
      <c r="B5" t="s">
        <v>154</v>
      </c>
      <c r="C5" t="s">
        <v>155</v>
      </c>
      <c r="D5" t="str">
        <f>Summary!$E$17</f>
        <v>Membership Fee</v>
      </c>
      <c r="E5" s="67" t="str">
        <f>Summary!$H$14</f>
        <v>Season</v>
      </c>
      <c r="G5" s="1">
        <v>55</v>
      </c>
      <c r="H5" s="45">
        <f>H4+G5</f>
        <v>55</v>
      </c>
      <c r="L5" s="49">
        <f t="shared" ref="L5:L7" si="0">IF(G5 &gt; 0, G5, 0)</f>
        <v>55</v>
      </c>
      <c r="M5" s="49">
        <f t="shared" ref="M5:M7" si="1">IF(G5 &lt; 0, G5, 0)</f>
        <v>0</v>
      </c>
    </row>
    <row r="6" spans="1:13">
      <c r="A6" s="7">
        <v>44093</v>
      </c>
      <c r="B6" t="s">
        <v>156</v>
      </c>
      <c r="C6" t="s">
        <v>157</v>
      </c>
      <c r="D6" t="str">
        <f>Summary!$E$14</f>
        <v>Raffle</v>
      </c>
      <c r="E6" s="47" t="str">
        <f>Summary!$H$30</f>
        <v>Preseason dinner</v>
      </c>
      <c r="G6" s="1">
        <v>158</v>
      </c>
      <c r="H6" s="45">
        <f>H5+G6</f>
        <v>213</v>
      </c>
      <c r="L6" s="49">
        <f t="shared" si="0"/>
        <v>158</v>
      </c>
      <c r="M6" s="49">
        <f t="shared" si="1"/>
        <v>0</v>
      </c>
    </row>
    <row r="7" spans="1:13">
      <c r="A7" s="7">
        <v>44124</v>
      </c>
      <c r="B7" t="s">
        <v>158</v>
      </c>
      <c r="C7" t="s">
        <v>159</v>
      </c>
      <c r="D7" t="str">
        <f>Summary!$E$14</f>
        <v>Raffle</v>
      </c>
      <c r="E7" s="47" t="str">
        <f>Summary!$H$16</f>
        <v>October general meeting</v>
      </c>
      <c r="G7" s="1">
        <v>56</v>
      </c>
      <c r="H7" s="45">
        <f>H6+G7</f>
        <v>269</v>
      </c>
      <c r="L7" s="49">
        <f t="shared" si="0"/>
        <v>56</v>
      </c>
      <c r="M7" s="49">
        <f t="shared" si="1"/>
        <v>0</v>
      </c>
    </row>
    <row r="8" spans="1:13">
      <c r="A8" s="7">
        <v>44124</v>
      </c>
      <c r="B8" t="s">
        <v>160</v>
      </c>
      <c r="C8" t="s">
        <v>161</v>
      </c>
      <c r="D8" t="str">
        <f>Summary!$E$16</f>
        <v>Meeting Expense</v>
      </c>
      <c r="E8" s="47" t="str">
        <f>Summary!$H$16</f>
        <v>October general meeting</v>
      </c>
      <c r="G8" s="1">
        <v>-28</v>
      </c>
      <c r="H8" s="45">
        <f>H7+G8</f>
        <v>241</v>
      </c>
      <c r="L8" s="49">
        <f t="shared" ref="L8:L14" si="2">IF(G8 &gt; 0, G8, 0)</f>
        <v>0</v>
      </c>
      <c r="M8" s="49">
        <f t="shared" ref="M8:M14" si="3">IF(G8 &lt; 0, G8, 0)</f>
        <v>-28</v>
      </c>
    </row>
    <row r="9" spans="1:13">
      <c r="A9" s="7">
        <v>44152</v>
      </c>
      <c r="B9" t="s">
        <v>162</v>
      </c>
      <c r="C9" t="s">
        <v>163</v>
      </c>
      <c r="D9" t="str">
        <f>Summary!$E$16</f>
        <v>Meeting Expense</v>
      </c>
      <c r="E9" s="47" t="str">
        <f>Summary!$H$17</f>
        <v>November general meeting</v>
      </c>
      <c r="G9" s="1">
        <v>-43.5</v>
      </c>
      <c r="H9" s="45">
        <f>H8+G9</f>
        <v>197.5</v>
      </c>
      <c r="L9" s="49">
        <f t="shared" si="2"/>
        <v>0</v>
      </c>
      <c r="M9" s="49">
        <f t="shared" si="3"/>
        <v>-43.5</v>
      </c>
    </row>
    <row r="10" spans="1:13">
      <c r="A10" s="7">
        <v>44152</v>
      </c>
      <c r="B10" t="s">
        <v>164</v>
      </c>
      <c r="C10" t="s">
        <v>165</v>
      </c>
      <c r="D10" t="str">
        <f>Summary!$E$14</f>
        <v>Raffle</v>
      </c>
      <c r="E10" s="47" t="str">
        <f>Summary!$H$17</f>
        <v>November general meeting</v>
      </c>
      <c r="G10" s="1">
        <v>76</v>
      </c>
      <c r="H10" s="45">
        <f>H9+G10</f>
        <v>273.5</v>
      </c>
      <c r="L10" s="49">
        <f t="shared" si="2"/>
        <v>76</v>
      </c>
      <c r="M10" s="49">
        <f t="shared" si="3"/>
        <v>0</v>
      </c>
    </row>
    <row r="11" spans="1:13">
      <c r="A11" s="7">
        <v>44152</v>
      </c>
      <c r="B11" t="s">
        <v>166</v>
      </c>
      <c r="C11" s="1" t="s">
        <v>167</v>
      </c>
      <c r="D11" t="str">
        <f>Summary!$E$22</f>
        <v>Social</v>
      </c>
      <c r="E11" s="47" t="str">
        <f>Summary!$H$17</f>
        <v>November general meeting</v>
      </c>
      <c r="G11" s="1">
        <v>-145</v>
      </c>
      <c r="H11" s="45">
        <f>H10+G11</f>
        <v>128.5</v>
      </c>
      <c r="L11" s="49">
        <f t="shared" si="2"/>
        <v>0</v>
      </c>
      <c r="M11" s="49">
        <f t="shared" si="3"/>
        <v>-145</v>
      </c>
    </row>
    <row r="12" spans="1:13">
      <c r="A12" s="7">
        <v>44155</v>
      </c>
      <c r="B12" t="s">
        <v>168</v>
      </c>
      <c r="C12" t="s">
        <v>68</v>
      </c>
      <c r="D12" t="str">
        <f>Summary!$E$20</f>
        <v>Transfer</v>
      </c>
      <c r="E12" s="67" t="str">
        <f>Summary!$H$31</f>
        <v>None</v>
      </c>
      <c r="F12" t="str">
        <f>'BOQ Cheque'!$B$41</f>
        <v>B40</v>
      </c>
      <c r="G12" s="1">
        <v>-128.5</v>
      </c>
      <c r="H12" s="45">
        <f>H11+G12</f>
        <v>0</v>
      </c>
      <c r="L12" s="49">
        <f t="shared" si="2"/>
        <v>0</v>
      </c>
      <c r="M12" s="49">
        <f t="shared" si="3"/>
        <v>-128.5</v>
      </c>
    </row>
    <row r="13" spans="1:13">
      <c r="A13" s="7">
        <v>44180</v>
      </c>
      <c r="B13" t="s">
        <v>169</v>
      </c>
      <c r="C13" t="s">
        <v>170</v>
      </c>
      <c r="D13" t="str">
        <f>Summary!$E$19</f>
        <v>Merchandise</v>
      </c>
      <c r="E13" s="67" t="str">
        <f>Summary!$H$31</f>
        <v>None</v>
      </c>
      <c r="G13" s="1">
        <v>30</v>
      </c>
      <c r="H13" s="45">
        <f>H12+G13</f>
        <v>30</v>
      </c>
      <c r="L13" s="49">
        <f t="shared" si="2"/>
        <v>30</v>
      </c>
      <c r="M13" s="49">
        <f t="shared" si="3"/>
        <v>0</v>
      </c>
    </row>
    <row r="14" spans="1:13">
      <c r="A14" s="7">
        <v>44180</v>
      </c>
      <c r="B14" t="s">
        <v>171</v>
      </c>
      <c r="C14" t="s">
        <v>172</v>
      </c>
      <c r="D14" t="str">
        <f>Summary!$E$14</f>
        <v>Raffle</v>
      </c>
      <c r="E14" s="47" t="str">
        <f>Summary!$H$20</f>
        <v>December general meeting</v>
      </c>
      <c r="G14" s="1">
        <v>90</v>
      </c>
      <c r="H14" s="45">
        <f t="shared" ref="H14:H19" si="4">H13+G14</f>
        <v>120</v>
      </c>
      <c r="L14" s="49">
        <f t="shared" si="2"/>
        <v>90</v>
      </c>
      <c r="M14" s="49">
        <f t="shared" si="3"/>
        <v>0</v>
      </c>
    </row>
    <row r="15" spans="1:13">
      <c r="A15" s="7">
        <v>44180</v>
      </c>
      <c r="B15" t="s">
        <v>173</v>
      </c>
      <c r="C15" t="s">
        <v>174</v>
      </c>
      <c r="D15" t="str">
        <f>Summary!$E$16</f>
        <v>Meeting Expense</v>
      </c>
      <c r="E15" s="47" t="str">
        <f>Summary!$H$17</f>
        <v>November general meeting</v>
      </c>
      <c r="G15" s="1">
        <v>-43</v>
      </c>
      <c r="H15" s="45">
        <f t="shared" si="4"/>
        <v>77</v>
      </c>
      <c r="L15" s="49">
        <f t="shared" ref="L15" si="5">IF(G15 &gt; 0, G15, 0)</f>
        <v>0</v>
      </c>
      <c r="M15" s="49">
        <f t="shared" ref="M15" si="6">IF(G15 &lt; 0, G15, 0)</f>
        <v>-43</v>
      </c>
    </row>
    <row r="16" spans="1:13">
      <c r="A16" s="7">
        <v>44215</v>
      </c>
      <c r="B16" t="s">
        <v>175</v>
      </c>
      <c r="C16" t="s">
        <v>176</v>
      </c>
      <c r="D16" t="str">
        <f>Summary!$E$14</f>
        <v>Raffle</v>
      </c>
      <c r="E16" s="47" t="str">
        <f>Summary!$H$23</f>
        <v>January general meeting</v>
      </c>
      <c r="G16" s="1">
        <v>56</v>
      </c>
      <c r="H16" s="45">
        <f t="shared" si="4"/>
        <v>133</v>
      </c>
      <c r="L16" s="49">
        <f t="shared" ref="L16:L19" si="7">IF(G16 &gt; 0, G16, 0)</f>
        <v>56</v>
      </c>
      <c r="M16" s="49">
        <f t="shared" ref="M16:M19" si="8">IF(G16 &lt; 0, G16, 0)</f>
        <v>0</v>
      </c>
    </row>
    <row r="17" spans="1:13">
      <c r="A17" s="7">
        <v>44215</v>
      </c>
      <c r="B17" t="s">
        <v>177</v>
      </c>
      <c r="C17" t="s">
        <v>178</v>
      </c>
      <c r="D17" t="str">
        <f>Summary!$E$16</f>
        <v>Meeting Expense</v>
      </c>
      <c r="E17" s="47" t="str">
        <f>Summary!$H$23</f>
        <v>January general meeting</v>
      </c>
      <c r="G17" s="1">
        <v>-30.05</v>
      </c>
      <c r="H17" s="45">
        <f t="shared" si="4"/>
        <v>102.95</v>
      </c>
      <c r="L17" s="49">
        <f t="shared" si="7"/>
        <v>0</v>
      </c>
      <c r="M17" s="49">
        <f t="shared" si="8"/>
        <v>-30.05</v>
      </c>
    </row>
    <row r="18" spans="1:13">
      <c r="A18" s="7">
        <v>44243</v>
      </c>
      <c r="B18" t="s">
        <v>179</v>
      </c>
      <c r="C18" t="s">
        <v>180</v>
      </c>
      <c r="D18" t="str">
        <f>Summary!$E$16</f>
        <v>Meeting Expense</v>
      </c>
      <c r="E18" s="47" t="str">
        <f>Summary!$H$24</f>
        <v>February general meeting</v>
      </c>
      <c r="G18" s="1">
        <v>-48.5</v>
      </c>
      <c r="H18" s="45">
        <f t="shared" si="4"/>
        <v>54.45</v>
      </c>
      <c r="L18" s="49">
        <f t="shared" si="7"/>
        <v>0</v>
      </c>
      <c r="M18" s="49">
        <f t="shared" si="8"/>
        <v>-48.5</v>
      </c>
    </row>
    <row r="19" spans="1:13">
      <c r="A19" s="7">
        <v>44243</v>
      </c>
      <c r="B19" t="s">
        <v>181</v>
      </c>
      <c r="C19" t="s">
        <v>182</v>
      </c>
      <c r="D19" t="str">
        <f>Summary!$E$14</f>
        <v>Raffle</v>
      </c>
      <c r="E19" s="47" t="str">
        <f>Summary!$H$24</f>
        <v>February general meeting</v>
      </c>
      <c r="G19" s="1">
        <v>49.8</v>
      </c>
      <c r="H19" s="45">
        <f t="shared" si="4"/>
        <v>104.25</v>
      </c>
      <c r="L19" s="49">
        <f t="shared" si="7"/>
        <v>49.8</v>
      </c>
      <c r="M19" s="49">
        <f t="shared" si="8"/>
        <v>0</v>
      </c>
    </row>
    <row r="20" spans="1:13">
      <c r="H20" s="45"/>
      <c r="L20" s="49">
        <f t="shared" ref="L20:L21" si="9">IF(G20 &gt; 0, G20, 0)</f>
        <v>0</v>
      </c>
      <c r="M20" s="49">
        <f t="shared" ref="M20:M21" si="10">IF(G20 &lt; 0, G20, 0)</f>
        <v>0</v>
      </c>
    </row>
    <row r="21" spans="1:13">
      <c r="E21" s="69"/>
      <c r="H21" s="45"/>
      <c r="L21" s="49">
        <f t="shared" si="9"/>
        <v>0</v>
      </c>
      <c r="M21" s="49">
        <f t="shared" si="10"/>
        <v>0</v>
      </c>
    </row>
    <row r="22" spans="1:13">
      <c r="H22" s="45"/>
      <c r="L22" s="49">
        <f t="shared" ref="L22" si="11">IF(G22 &gt; 0, G22, 0)</f>
        <v>0</v>
      </c>
      <c r="M22" s="49">
        <f t="shared" ref="M22" si="12">IF(G22 &lt; 0, G22, 0)</f>
        <v>0</v>
      </c>
    </row>
    <row r="23" spans="1:13">
      <c r="H23" s="45"/>
      <c r="L23" s="49">
        <f t="shared" ref="L23:L25" si="13">IF(G23 &gt; 0, G23, 0)</f>
        <v>0</v>
      </c>
      <c r="M23" s="49">
        <f t="shared" ref="M23:M25" si="14">IF(G23 &lt; 0, G23, 0)</f>
        <v>0</v>
      </c>
    </row>
    <row r="24" spans="1:13">
      <c r="H24" s="45"/>
      <c r="L24" s="49">
        <f t="shared" si="13"/>
        <v>0</v>
      </c>
      <c r="M24" s="49">
        <f t="shared" si="14"/>
        <v>0</v>
      </c>
    </row>
    <row r="25" spans="1:13">
      <c r="H25" s="45"/>
      <c r="L25" s="49">
        <f t="shared" si="13"/>
        <v>0</v>
      </c>
      <c r="M25" s="49">
        <f t="shared" si="14"/>
        <v>0</v>
      </c>
    </row>
    <row r="26" spans="1:13">
      <c r="H26" s="45"/>
      <c r="L26" s="49">
        <f t="shared" ref="L26" si="15">IF(G26 &gt; 0, G26, 0)</f>
        <v>0</v>
      </c>
      <c r="M26" s="49">
        <f t="shared" ref="M26" si="16">IF(G26 &lt; 0, G26, 0)</f>
        <v>0</v>
      </c>
    </row>
    <row r="27" spans="1:13">
      <c r="H27" s="45"/>
      <c r="L27" s="49">
        <f t="shared" ref="L27:L29" si="17">IF(G27 &gt; 0, G27, 0)</f>
        <v>0</v>
      </c>
      <c r="M27" s="49">
        <f t="shared" ref="M27:M29" si="18">IF(G27 &lt; 0, G27, 0)</f>
        <v>0</v>
      </c>
    </row>
    <row r="28" spans="1:13">
      <c r="H28" s="45"/>
      <c r="L28" s="49">
        <f t="shared" si="17"/>
        <v>0</v>
      </c>
      <c r="M28" s="49">
        <f t="shared" si="18"/>
        <v>0</v>
      </c>
    </row>
    <row r="29" spans="1:13">
      <c r="H29" s="45"/>
      <c r="L29" s="49">
        <f t="shared" si="17"/>
        <v>0</v>
      </c>
      <c r="M29" s="49">
        <f t="shared" si="18"/>
        <v>0</v>
      </c>
    </row>
    <row r="30" spans="1:13">
      <c r="H30" s="45"/>
      <c r="L30" s="49">
        <f t="shared" ref="L30" si="19">IF(G30 &gt; 0, G30, 0)</f>
        <v>0</v>
      </c>
      <c r="M30" s="49">
        <f t="shared" ref="M30" si="20">IF(G30 &lt; 0, G30, 0)</f>
        <v>0</v>
      </c>
    </row>
    <row r="31" spans="1:13">
      <c r="H31" s="45"/>
      <c r="L31" s="49">
        <f t="shared" ref="L31:L32" si="21">IF(G31 &gt; 0, G31, 0)</f>
        <v>0</v>
      </c>
      <c r="M31" s="49">
        <f t="shared" ref="M31:M32" si="22">IF(G31 &lt; 0, G31, 0)</f>
        <v>0</v>
      </c>
    </row>
    <row r="32" spans="1:13">
      <c r="H32" s="45"/>
      <c r="L32" s="49">
        <f t="shared" si="21"/>
        <v>0</v>
      </c>
      <c r="M32" s="49">
        <f t="shared" si="22"/>
        <v>0</v>
      </c>
    </row>
    <row r="33" spans="3:13">
      <c r="H33" s="45"/>
      <c r="L33" s="49">
        <f t="shared" ref="L33" si="23">IF(G33 &gt; 0, G33, 0)</f>
        <v>0</v>
      </c>
      <c r="M33" s="49">
        <f t="shared" ref="M33" si="24">IF(G33 &lt; 0, G33, 0)</f>
        <v>0</v>
      </c>
    </row>
    <row r="34" spans="3:13">
      <c r="H34" s="45"/>
      <c r="L34" s="49">
        <f t="shared" ref="L34" si="25">IF(G34 &gt; 0, G34, 0)</f>
        <v>0</v>
      </c>
      <c r="M34" s="49">
        <f t="shared" ref="M34" si="26">IF(G34 &lt; 0, G34, 0)</f>
        <v>0</v>
      </c>
    </row>
    <row r="35" spans="3:13">
      <c r="H35" s="45"/>
    </row>
    <row r="36" spans="3:13">
      <c r="H36" s="45"/>
    </row>
    <row r="37" spans="3:13">
      <c r="H37" s="45"/>
    </row>
    <row r="38" spans="3:13">
      <c r="H38" s="45"/>
    </row>
    <row r="39" spans="3:13">
      <c r="H39" s="45"/>
    </row>
    <row r="40" spans="3:13">
      <c r="C40" s="42"/>
      <c r="H40" s="45"/>
    </row>
    <row r="41" spans="3:13">
      <c r="H41" s="45"/>
    </row>
    <row r="42" spans="3:13">
      <c r="H42" s="45"/>
    </row>
    <row r="43" spans="3:13">
      <c r="H43" s="45"/>
    </row>
    <row r="44" spans="3:13">
      <c r="H44" s="45"/>
    </row>
    <row r="45" spans="3:13">
      <c r="H45" s="45"/>
    </row>
    <row r="46" spans="3:13">
      <c r="H46" s="45"/>
    </row>
    <row r="47" spans="3:13">
      <c r="H47" s="45"/>
    </row>
    <row r="48" spans="3:13">
      <c r="H48" s="45"/>
    </row>
    <row r="49" spans="8:8">
      <c r="H49" s="45"/>
    </row>
    <row r="50" spans="8:8">
      <c r="H50" s="45"/>
    </row>
    <row r="51" spans="8:8">
      <c r="H51" s="45"/>
    </row>
    <row r="52" spans="8:8">
      <c r="H52" s="45"/>
    </row>
    <row r="53" spans="8:8">
      <c r="H53" s="45"/>
    </row>
    <row r="54" spans="8:8">
      <c r="H54" s="45"/>
    </row>
    <row r="55" spans="8:8">
      <c r="H55" s="45"/>
    </row>
    <row r="56" spans="8:8">
      <c r="H56" s="45"/>
    </row>
    <row r="57" spans="8:8">
      <c r="H57" s="45"/>
    </row>
    <row r="58" spans="8:8">
      <c r="H58" s="45"/>
    </row>
    <row r="59" spans="8:8">
      <c r="H59" s="45"/>
    </row>
    <row r="60" spans="8:8">
      <c r="H60" s="45"/>
    </row>
    <row r="61" spans="8:8">
      <c r="H61" s="45"/>
    </row>
    <row r="62" spans="8:8">
      <c r="H62" s="45"/>
    </row>
    <row r="63" spans="8:8">
      <c r="H63" s="45"/>
    </row>
    <row r="64" spans="8:8">
      <c r="H64" s="45"/>
    </row>
    <row r="65" spans="8:8">
      <c r="H65" s="45"/>
    </row>
    <row r="66" spans="8:8">
      <c r="H66" s="45"/>
    </row>
    <row r="67" spans="8:8">
      <c r="H67" s="45"/>
    </row>
    <row r="68" spans="8:8">
      <c r="H68" s="4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5"/>
  <sheetViews>
    <sheetView workbookViewId="0">
      <selection activeCell="H6" sqref="A6:H6"/>
    </sheetView>
  </sheetViews>
  <sheetFormatPr defaultRowHeight="14.45"/>
  <cols>
    <col min="1" max="1" width="20.7109375" style="7" customWidth="1"/>
    <col min="2" max="2" width="5.140625" bestFit="1" customWidth="1"/>
    <col min="3" max="3" width="59.7109375" bestFit="1" customWidth="1"/>
    <col min="4" max="5" width="20.7109375" customWidth="1"/>
    <col min="6" max="6" width="5.140625" bestFit="1" customWidth="1"/>
    <col min="7" max="7" width="20.7109375" style="1" customWidth="1"/>
    <col min="8" max="8" width="20.7109375" style="5" customWidth="1"/>
    <col min="10" max="10" width="13.28515625" style="1" customWidth="1"/>
    <col min="12" max="12" width="9.140625" bestFit="1" customWidth="1"/>
    <col min="13" max="13" width="12" bestFit="1" customWidth="1"/>
  </cols>
  <sheetData>
    <row r="1" spans="1:13">
      <c r="A1" s="8" t="s">
        <v>47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4" t="s">
        <v>53</v>
      </c>
      <c r="H1" s="4" t="s">
        <v>54</v>
      </c>
      <c r="J1" s="1">
        <f>INDEX(H:H,COUNT(H:H)+1)</f>
        <v>14415.690000000002</v>
      </c>
      <c r="L1" t="s">
        <v>55</v>
      </c>
      <c r="M1" t="s">
        <v>56</v>
      </c>
    </row>
    <row r="2" spans="1:13">
      <c r="A2" s="7">
        <v>43252</v>
      </c>
      <c r="B2" t="s">
        <v>183</v>
      </c>
      <c r="C2" t="s">
        <v>58</v>
      </c>
      <c r="E2" s="48"/>
      <c r="G2" s="17">
        <v>17302.849999999999</v>
      </c>
      <c r="H2" s="2">
        <f>G2</f>
        <v>17302.849999999999</v>
      </c>
    </row>
    <row r="3" spans="1:13">
      <c r="A3" s="7">
        <v>44012</v>
      </c>
      <c r="B3" t="s">
        <v>184</v>
      </c>
      <c r="C3" t="s">
        <v>13</v>
      </c>
      <c r="D3" t="str">
        <f>Summary!$E$13</f>
        <v>Interest</v>
      </c>
      <c r="E3" s="67" t="str">
        <f>Summary!$H$31</f>
        <v>None</v>
      </c>
      <c r="G3" s="1">
        <v>17.77</v>
      </c>
      <c r="H3" s="2">
        <f>H2+G3</f>
        <v>17320.62</v>
      </c>
      <c r="L3">
        <f t="shared" ref="L3:L4" si="0">IF(G3&gt;0,G3,0)</f>
        <v>17.77</v>
      </c>
      <c r="M3">
        <f t="shared" ref="M3:M4" si="1">IF(G3 &lt; 0, G3, 0)</f>
        <v>0</v>
      </c>
    </row>
    <row r="4" spans="1:13">
      <c r="A4" s="7">
        <v>44043</v>
      </c>
      <c r="B4" t="s">
        <v>185</v>
      </c>
      <c r="C4" t="s">
        <v>13</v>
      </c>
      <c r="D4" t="str">
        <f>Summary!$E$13</f>
        <v>Interest</v>
      </c>
      <c r="E4" s="67" t="str">
        <f>Summary!$H$31</f>
        <v>None</v>
      </c>
      <c r="G4" s="1">
        <v>18.38</v>
      </c>
      <c r="H4" s="2">
        <f>H3+G4</f>
        <v>17339</v>
      </c>
      <c r="L4">
        <f t="shared" si="0"/>
        <v>18.38</v>
      </c>
      <c r="M4">
        <f t="shared" si="1"/>
        <v>0</v>
      </c>
    </row>
    <row r="5" spans="1:13">
      <c r="A5" s="7">
        <v>44074</v>
      </c>
      <c r="B5" t="s">
        <v>186</v>
      </c>
      <c r="C5" t="s">
        <v>13</v>
      </c>
      <c r="D5" t="str">
        <f>Summary!$E$13</f>
        <v>Interest</v>
      </c>
      <c r="E5" s="67" t="str">
        <f>Summary!$H$31</f>
        <v>None</v>
      </c>
      <c r="G5" s="1">
        <v>17.88</v>
      </c>
      <c r="H5" s="2">
        <f>H4+G5</f>
        <v>17356.88</v>
      </c>
      <c r="L5">
        <f t="shared" ref="L5" si="2">IF(G5&gt;0,G5,0)</f>
        <v>17.88</v>
      </c>
      <c r="M5">
        <f t="shared" ref="M5" si="3">IF(G5 &lt; 0, G5, 0)</f>
        <v>0</v>
      </c>
    </row>
    <row r="6" spans="1:13">
      <c r="A6" s="7">
        <v>44096</v>
      </c>
      <c r="B6" t="s">
        <v>187</v>
      </c>
      <c r="C6" t="s">
        <v>188</v>
      </c>
      <c r="D6" t="str">
        <f>Summary!$E$20</f>
        <v>Transfer</v>
      </c>
      <c r="E6" s="67" t="str">
        <f>Summary!$H$31</f>
        <v>None</v>
      </c>
      <c r="F6" t="str">
        <f>'BOQ Cheque'!$B$26</f>
        <v>B25</v>
      </c>
      <c r="G6" s="1">
        <v>-3000</v>
      </c>
      <c r="H6" s="2">
        <f t="shared" ref="H6:H12" si="4">H5+G6</f>
        <v>14356.880000000001</v>
      </c>
      <c r="L6">
        <f t="shared" ref="L6" si="5">IF(G6&gt;0,G6,0)</f>
        <v>0</v>
      </c>
      <c r="M6">
        <f t="shared" ref="M6" si="6">IF(G6 &lt; 0, G6, 0)</f>
        <v>-3000</v>
      </c>
    </row>
    <row r="7" spans="1:13">
      <c r="A7" s="7">
        <v>44104</v>
      </c>
      <c r="B7" t="s">
        <v>189</v>
      </c>
      <c r="C7" t="s">
        <v>13</v>
      </c>
      <c r="D7" t="str">
        <f>Summary!$E$13</f>
        <v>Interest</v>
      </c>
      <c r="E7" s="67" t="str">
        <f>Summary!$H$31</f>
        <v>None</v>
      </c>
      <c r="G7" s="1">
        <v>15.02</v>
      </c>
      <c r="H7" s="2">
        <f t="shared" si="4"/>
        <v>14371.900000000001</v>
      </c>
      <c r="L7">
        <f t="shared" ref="L7" si="7">IF(G7&gt;0,G7,0)</f>
        <v>15.02</v>
      </c>
      <c r="M7">
        <f t="shared" ref="M7" si="8">IF(G7 &lt; 0, G7, 0)</f>
        <v>0</v>
      </c>
    </row>
    <row r="8" spans="1:13">
      <c r="A8" s="7">
        <v>44135</v>
      </c>
      <c r="B8" t="s">
        <v>190</v>
      </c>
      <c r="C8" t="s">
        <v>13</v>
      </c>
      <c r="D8" t="str">
        <f>Summary!$E$13</f>
        <v>Interest</v>
      </c>
      <c r="E8" s="67" t="str">
        <f>Summary!$H$31</f>
        <v>None</v>
      </c>
      <c r="G8" s="1">
        <v>11</v>
      </c>
      <c r="H8" s="2">
        <f t="shared" si="4"/>
        <v>14382.900000000001</v>
      </c>
      <c r="L8">
        <f t="shared" ref="L8" si="9">IF(G8&gt;0,G8,0)</f>
        <v>11</v>
      </c>
      <c r="M8">
        <f t="shared" ref="M8" si="10">IF(G8 &lt; 0, G8, 0)</f>
        <v>0</v>
      </c>
    </row>
    <row r="9" spans="1:13">
      <c r="A9" s="7">
        <v>44165</v>
      </c>
      <c r="B9" t="s">
        <v>191</v>
      </c>
      <c r="C9" t="s">
        <v>13</v>
      </c>
      <c r="D9" t="str">
        <f>Summary!$E$13</f>
        <v>Interest</v>
      </c>
      <c r="E9" s="67" t="str">
        <f>Summary!$H$31</f>
        <v>None</v>
      </c>
      <c r="G9" s="1">
        <v>9.73</v>
      </c>
      <c r="H9" s="2">
        <f t="shared" si="4"/>
        <v>14392.630000000001</v>
      </c>
      <c r="L9">
        <f t="shared" ref="L9" si="11">IF(G9&gt;0,G9,0)</f>
        <v>9.73</v>
      </c>
      <c r="M9">
        <f t="shared" ref="M9" si="12">IF(G9 &lt; 0, G9, 0)</f>
        <v>0</v>
      </c>
    </row>
    <row r="10" spans="1:13">
      <c r="A10" s="7">
        <v>44196</v>
      </c>
      <c r="B10" t="s">
        <v>192</v>
      </c>
      <c r="C10" t="s">
        <v>13</v>
      </c>
      <c r="D10" t="str">
        <f>Summary!$E$13</f>
        <v>Interest</v>
      </c>
      <c r="E10" s="67" t="str">
        <f>Summary!$H$31</f>
        <v>None</v>
      </c>
      <c r="G10" s="1">
        <v>7.94</v>
      </c>
      <c r="H10" s="2">
        <f t="shared" si="4"/>
        <v>14400.570000000002</v>
      </c>
      <c r="L10">
        <f t="shared" ref="L10" si="13">IF(G10&gt;0,G10,0)</f>
        <v>7.94</v>
      </c>
      <c r="M10">
        <f t="shared" ref="M10" si="14">IF(G10 &lt; 0, G10, 0)</f>
        <v>0</v>
      </c>
    </row>
    <row r="11" spans="1:13">
      <c r="A11" s="7">
        <v>44227</v>
      </c>
      <c r="B11" t="s">
        <v>193</v>
      </c>
      <c r="C11" t="s">
        <v>13</v>
      </c>
      <c r="D11" t="str">
        <f>Summary!$E$13</f>
        <v>Interest</v>
      </c>
      <c r="E11" s="67" t="str">
        <f>Summary!$H$31</f>
        <v>None</v>
      </c>
      <c r="G11" s="1">
        <v>7.94</v>
      </c>
      <c r="H11" s="2">
        <f t="shared" si="4"/>
        <v>14408.510000000002</v>
      </c>
      <c r="L11">
        <f t="shared" ref="L11" si="15">IF(G11&gt;0,G11,0)</f>
        <v>7.94</v>
      </c>
      <c r="M11">
        <f t="shared" ref="M11" si="16">IF(G11 &lt; 0, G11, 0)</f>
        <v>0</v>
      </c>
    </row>
    <row r="12" spans="1:13">
      <c r="A12" s="7">
        <v>44255</v>
      </c>
      <c r="B12" t="s">
        <v>194</v>
      </c>
      <c r="C12" t="s">
        <v>13</v>
      </c>
      <c r="D12" t="str">
        <f>Summary!$E$13</f>
        <v>Interest</v>
      </c>
      <c r="E12" s="67" t="str">
        <f>Summary!$H$31</f>
        <v>None</v>
      </c>
      <c r="G12" s="1">
        <v>7.18</v>
      </c>
      <c r="H12" s="2">
        <f t="shared" si="4"/>
        <v>14415.690000000002</v>
      </c>
      <c r="L12">
        <f t="shared" ref="L12" si="17">IF(G12&gt;0,G12,0)</f>
        <v>7.18</v>
      </c>
      <c r="M12">
        <f t="shared" ref="M12" si="18">IF(G12 &lt; 0, G12, 0)</f>
        <v>0</v>
      </c>
    </row>
    <row r="13" spans="1:13">
      <c r="E13" s="47"/>
      <c r="H13" s="2"/>
      <c r="L13">
        <f t="shared" ref="L13:L14" si="19">IF(G13&gt;0,G13,0)</f>
        <v>0</v>
      </c>
      <c r="M13">
        <f t="shared" ref="M13:M14" si="20">IF(G13 &lt; 0, G13, 0)</f>
        <v>0</v>
      </c>
    </row>
    <row r="14" spans="1:13">
      <c r="E14" s="47"/>
      <c r="H14" s="2"/>
      <c r="L14">
        <f t="shared" si="19"/>
        <v>0</v>
      </c>
      <c r="M14">
        <f t="shared" si="20"/>
        <v>0</v>
      </c>
    </row>
    <row r="15" spans="1:13">
      <c r="E15" s="67"/>
      <c r="H15" s="2"/>
      <c r="L15">
        <f t="shared" ref="L15:L16" si="21">IF(G15&gt;0,G15,0)</f>
        <v>0</v>
      </c>
      <c r="M15">
        <f t="shared" ref="M15:M16" si="22">IF(G15 &lt; 0, G15, 0)</f>
        <v>0</v>
      </c>
    </row>
    <row r="16" spans="1:13">
      <c r="E16" s="47"/>
      <c r="H16" s="2"/>
      <c r="L16">
        <f t="shared" si="21"/>
        <v>0</v>
      </c>
      <c r="M16">
        <f t="shared" si="22"/>
        <v>0</v>
      </c>
    </row>
    <row r="17" spans="5:8">
      <c r="E17" s="48"/>
      <c r="H17" s="2"/>
    </row>
    <row r="18" spans="5:8">
      <c r="E18" s="48"/>
      <c r="H18" s="2"/>
    </row>
    <row r="19" spans="5:8">
      <c r="E19" s="48"/>
      <c r="H19" s="2"/>
    </row>
    <row r="20" spans="5:8">
      <c r="E20" s="48"/>
      <c r="H20" s="2"/>
    </row>
    <row r="21" spans="5:8">
      <c r="E21" s="48"/>
      <c r="H21" s="2"/>
    </row>
    <row r="22" spans="5:8">
      <c r="E22" s="48"/>
      <c r="H22" s="2"/>
    </row>
    <row r="23" spans="5:8">
      <c r="E23" s="48"/>
      <c r="H23" s="2"/>
    </row>
    <row r="24" spans="5:8">
      <c r="E24" s="48"/>
      <c r="H24" s="2"/>
    </row>
    <row r="25" spans="5:8">
      <c r="E25" s="48"/>
      <c r="H25" s="2"/>
    </row>
    <row r="26" spans="5:8">
      <c r="E26" s="48"/>
      <c r="H26" s="2"/>
    </row>
    <row r="27" spans="5:8">
      <c r="E27" s="48"/>
      <c r="H27" s="2"/>
    </row>
    <row r="28" spans="5:8">
      <c r="E28" s="48"/>
      <c r="H28" s="2"/>
    </row>
    <row r="29" spans="5:8">
      <c r="E29" s="48"/>
      <c r="H29" s="2"/>
    </row>
    <row r="30" spans="5:8">
      <c r="E30" s="48"/>
      <c r="H30" s="2"/>
    </row>
    <row r="31" spans="5:8">
      <c r="E31" s="48"/>
      <c r="H31" s="2"/>
    </row>
    <row r="32" spans="5:8">
      <c r="E32" s="48"/>
      <c r="H32" s="2"/>
    </row>
    <row r="33" spans="5:8">
      <c r="E33" s="48"/>
      <c r="H33" s="2"/>
    </row>
    <row r="34" spans="5:8">
      <c r="E34" s="48"/>
      <c r="H34" s="2"/>
    </row>
    <row r="35" spans="5:8">
      <c r="E35" s="48"/>
      <c r="H35" s="2"/>
    </row>
    <row r="36" spans="5:8">
      <c r="E36" s="48"/>
      <c r="H36" s="2"/>
    </row>
    <row r="37" spans="5:8">
      <c r="E37" s="48"/>
      <c r="H37" s="2"/>
    </row>
    <row r="38" spans="5:8">
      <c r="E38" s="48"/>
      <c r="H38" s="2"/>
    </row>
    <row r="39" spans="5:8">
      <c r="E39" s="48"/>
      <c r="H39" s="2"/>
    </row>
    <row r="40" spans="5:8">
      <c r="E40" s="48"/>
      <c r="H40" s="2"/>
    </row>
    <row r="41" spans="5:8">
      <c r="E41" s="48"/>
      <c r="H41" s="2"/>
    </row>
    <row r="42" spans="5:8">
      <c r="E42" s="48"/>
      <c r="H42" s="2"/>
    </row>
    <row r="43" spans="5:8">
      <c r="E43" s="48"/>
      <c r="H43" s="2"/>
    </row>
    <row r="44" spans="5:8">
      <c r="E44" s="48"/>
      <c r="H44" s="2"/>
    </row>
    <row r="45" spans="5:8">
      <c r="E45" s="48"/>
      <c r="H45" s="2"/>
    </row>
    <row r="46" spans="5:8">
      <c r="E46" s="48"/>
      <c r="H46" s="2"/>
    </row>
    <row r="47" spans="5:8">
      <c r="E47" s="48"/>
      <c r="H47" s="2"/>
    </row>
    <row r="48" spans="5:8">
      <c r="E48" s="48"/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  <row r="60" spans="8:8">
      <c r="H60" s="2"/>
    </row>
    <row r="61" spans="8:8">
      <c r="H61" s="2"/>
    </row>
    <row r="62" spans="8:8">
      <c r="H62" s="2"/>
    </row>
    <row r="63" spans="8:8">
      <c r="H63" s="2"/>
    </row>
    <row r="64" spans="8:8">
      <c r="H64" s="2"/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78" spans="8:8">
      <c r="H78" s="2"/>
    </row>
    <row r="79" spans="8:8">
      <c r="H79" s="2"/>
    </row>
    <row r="80" spans="8:8">
      <c r="H80" s="2"/>
    </row>
    <row r="81" spans="8:8">
      <c r="H81" s="2"/>
    </row>
    <row r="82" spans="8:8">
      <c r="H82" s="2"/>
    </row>
    <row r="83" spans="8:8">
      <c r="H83" s="2"/>
    </row>
    <row r="84" spans="8:8">
      <c r="H84" s="2"/>
    </row>
    <row r="85" spans="8:8">
      <c r="H85" s="2"/>
    </row>
    <row r="86" spans="8:8">
      <c r="H86" s="2"/>
    </row>
    <row r="87" spans="8:8">
      <c r="H87" s="2"/>
    </row>
    <row r="88" spans="8:8">
      <c r="H88" s="2"/>
    </row>
    <row r="89" spans="8:8">
      <c r="H89" s="2"/>
    </row>
    <row r="90" spans="8:8">
      <c r="H90" s="2"/>
    </row>
    <row r="91" spans="8:8">
      <c r="H91" s="2"/>
    </row>
    <row r="92" spans="8:8">
      <c r="H92" s="2"/>
    </row>
    <row r="93" spans="8:8">
      <c r="H93" s="2"/>
    </row>
    <row r="94" spans="8:8">
      <c r="H94" s="2"/>
    </row>
    <row r="95" spans="8:8">
      <c r="H95" s="2"/>
    </row>
    <row r="96" spans="8:8">
      <c r="H96" s="2"/>
    </row>
    <row r="97" spans="8:8">
      <c r="H97" s="2"/>
    </row>
    <row r="98" spans="8:8">
      <c r="H98" s="2"/>
    </row>
    <row r="99" spans="8:8">
      <c r="H99" s="2"/>
    </row>
    <row r="100" spans="8:8">
      <c r="H100" s="2"/>
    </row>
    <row r="101" spans="8:8">
      <c r="H101" s="2"/>
    </row>
    <row r="102" spans="8:8">
      <c r="H102" s="2"/>
    </row>
    <row r="103" spans="8:8">
      <c r="H103" s="2"/>
    </row>
    <row r="104" spans="8:8">
      <c r="H104" s="2"/>
    </row>
    <row r="105" spans="8:8">
      <c r="H105" s="2"/>
    </row>
    <row r="106" spans="8:8">
      <c r="H106" s="2"/>
    </row>
    <row r="107" spans="8:8">
      <c r="H107" s="2"/>
    </row>
    <row r="108" spans="8:8">
      <c r="H108" s="2"/>
    </row>
    <row r="109" spans="8:8">
      <c r="H109" s="2"/>
    </row>
    <row r="110" spans="8:8">
      <c r="H110" s="2"/>
    </row>
    <row r="111" spans="8:8">
      <c r="H111" s="2"/>
    </row>
    <row r="112" spans="8:8">
      <c r="H112" s="2"/>
    </row>
    <row r="113" spans="8:8">
      <c r="H113" s="2"/>
    </row>
    <row r="114" spans="8:8">
      <c r="H114" s="2"/>
    </row>
    <row r="115" spans="8:8">
      <c r="H115" s="2"/>
    </row>
    <row r="116" spans="8:8">
      <c r="H116" s="2"/>
    </row>
    <row r="117" spans="8:8">
      <c r="H117" s="2"/>
    </row>
    <row r="118" spans="8:8">
      <c r="H118" s="2"/>
    </row>
    <row r="119" spans="8:8">
      <c r="H119" s="2"/>
    </row>
    <row r="120" spans="8:8">
      <c r="H120" s="2"/>
    </row>
    <row r="121" spans="8:8">
      <c r="H121" s="2"/>
    </row>
    <row r="122" spans="8:8">
      <c r="H122" s="2"/>
    </row>
    <row r="123" spans="8:8">
      <c r="H123" s="2"/>
    </row>
    <row r="124" spans="8:8">
      <c r="H124" s="2"/>
    </row>
    <row r="125" spans="8:8">
      <c r="H125" s="2"/>
    </row>
    <row r="126" spans="8:8">
      <c r="H126" s="2"/>
    </row>
    <row r="127" spans="8:8">
      <c r="H127" s="2"/>
    </row>
    <row r="128" spans="8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/>
    </row>
    <row r="145" spans="8:8">
      <c r="H145" s="2"/>
    </row>
    <row r="146" spans="8:8">
      <c r="H146" s="2"/>
    </row>
    <row r="147" spans="8:8">
      <c r="H147" s="2"/>
    </row>
    <row r="148" spans="8:8">
      <c r="H148" s="2"/>
    </row>
    <row r="149" spans="8:8">
      <c r="H149" s="2"/>
    </row>
    <row r="150" spans="8:8">
      <c r="H150" s="2"/>
    </row>
    <row r="151" spans="8:8">
      <c r="H151" s="2"/>
    </row>
    <row r="152" spans="8:8">
      <c r="H152" s="2"/>
    </row>
    <row r="153" spans="8:8">
      <c r="H153" s="2"/>
    </row>
    <row r="154" spans="8:8">
      <c r="H154" s="2"/>
    </row>
    <row r="155" spans="8:8">
      <c r="H155" s="2"/>
    </row>
    <row r="156" spans="8:8">
      <c r="H156" s="2"/>
    </row>
    <row r="157" spans="8:8">
      <c r="H157" s="2"/>
    </row>
    <row r="158" spans="8:8">
      <c r="H158" s="2"/>
    </row>
    <row r="159" spans="8:8">
      <c r="H159" s="2"/>
    </row>
    <row r="160" spans="8:8"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C185" s="43"/>
      <c r="H185" s="2"/>
    </row>
    <row r="186" spans="3:8"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  <row r="250" spans="8:8">
      <c r="H250" s="2"/>
    </row>
    <row r="251" spans="8:8">
      <c r="H251" s="2"/>
    </row>
    <row r="252" spans="8:8">
      <c r="H252" s="2"/>
    </row>
    <row r="253" spans="8:8">
      <c r="H253" s="2"/>
    </row>
    <row r="254" spans="8:8">
      <c r="H254" s="2"/>
    </row>
    <row r="255" spans="8:8">
      <c r="H255" s="2"/>
    </row>
    <row r="256" spans="8:8">
      <c r="H256" s="2"/>
    </row>
    <row r="257" spans="3:8">
      <c r="H257" s="2"/>
    </row>
    <row r="258" spans="3:8">
      <c r="H258" s="2"/>
    </row>
    <row r="259" spans="3:8">
      <c r="H259" s="2"/>
    </row>
    <row r="260" spans="3:8">
      <c r="H260" s="2"/>
    </row>
    <row r="261" spans="3:8">
      <c r="H261" s="2"/>
    </row>
    <row r="262" spans="3:8">
      <c r="H262" s="2"/>
    </row>
    <row r="263" spans="3:8">
      <c r="H263" s="2"/>
    </row>
    <row r="264" spans="3:8">
      <c r="H264" s="2"/>
    </row>
    <row r="265" spans="3:8">
      <c r="H265" s="2"/>
    </row>
    <row r="266" spans="3:8">
      <c r="H266" s="2"/>
    </row>
    <row r="267" spans="3:8">
      <c r="H267" s="2"/>
    </row>
    <row r="268" spans="3:8">
      <c r="H268" s="2"/>
    </row>
    <row r="269" spans="3:8">
      <c r="H269" s="2"/>
    </row>
    <row r="270" spans="3:8">
      <c r="H270" s="2"/>
    </row>
    <row r="271" spans="3:8">
      <c r="H271" s="2"/>
    </row>
    <row r="272" spans="3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 t="str">
        <f t="shared" ref="H306:H315" si="23">IF(ISBLANK(G306), "", H305+G306)</f>
        <v/>
      </c>
    </row>
    <row r="307" spans="8:8">
      <c r="H307" s="2" t="str">
        <f t="shared" si="23"/>
        <v/>
      </c>
    </row>
    <row r="308" spans="8:8">
      <c r="H308" s="2" t="str">
        <f t="shared" si="23"/>
        <v/>
      </c>
    </row>
    <row r="309" spans="8:8">
      <c r="H309" s="2" t="str">
        <f t="shared" si="23"/>
        <v/>
      </c>
    </row>
    <row r="310" spans="8:8">
      <c r="H310" s="2" t="str">
        <f t="shared" si="23"/>
        <v/>
      </c>
    </row>
    <row r="311" spans="8:8">
      <c r="H311" s="2" t="str">
        <f t="shared" si="23"/>
        <v/>
      </c>
    </row>
    <row r="312" spans="8:8">
      <c r="H312" s="2" t="str">
        <f t="shared" si="23"/>
        <v/>
      </c>
    </row>
    <row r="313" spans="8:8">
      <c r="H313" s="2" t="str">
        <f t="shared" si="23"/>
        <v/>
      </c>
    </row>
    <row r="314" spans="8:8">
      <c r="H314" s="2" t="str">
        <f t="shared" si="23"/>
        <v/>
      </c>
    </row>
    <row r="315" spans="8:8">
      <c r="H315" s="2" t="str">
        <f t="shared" si="23"/>
        <v/>
      </c>
    </row>
  </sheetData>
  <sortState xmlns:xlrd2="http://schemas.microsoft.com/office/spreadsheetml/2017/richdata2" ref="K1:K1048548">
    <sortCondition ref="K1:K1048548"/>
  </sortState>
  <phoneticPr fontId="1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CC08-D646-4D8C-9D09-FD9E80FB4FB9}">
  <dimension ref="A1:U20"/>
  <sheetViews>
    <sheetView workbookViewId="0">
      <selection activeCell="F16" sqref="F16"/>
    </sheetView>
  </sheetViews>
  <sheetFormatPr defaultRowHeight="14.45"/>
  <cols>
    <col min="1" max="1" width="16.5703125" style="7" bestFit="1" customWidth="1"/>
    <col min="2" max="2" width="10.28515625" bestFit="1" customWidth="1"/>
    <col min="3" max="3" width="16.140625" bestFit="1" customWidth="1"/>
    <col min="4" max="4" width="10" bestFit="1" customWidth="1"/>
    <col min="5" max="5" width="9.85546875" bestFit="1" customWidth="1"/>
    <col min="6" max="6" width="27" bestFit="1" customWidth="1"/>
    <col min="7" max="7" width="10.85546875" bestFit="1" customWidth="1"/>
    <col min="8" max="8" width="12" bestFit="1" customWidth="1"/>
    <col min="9" max="11" width="9.85546875" bestFit="1" customWidth="1"/>
    <col min="12" max="12" width="17.7109375" bestFit="1" customWidth="1"/>
    <col min="13" max="13" width="12.28515625" style="48" customWidth="1"/>
    <col min="14" max="14" width="9.85546875" bestFit="1" customWidth="1"/>
  </cols>
  <sheetData>
    <row r="1" spans="1:21">
      <c r="A1" s="7" t="s">
        <v>50</v>
      </c>
      <c r="B1" s="7" t="s">
        <v>55</v>
      </c>
      <c r="C1" s="7" t="s">
        <v>56</v>
      </c>
      <c r="D1" s="7" t="s">
        <v>54</v>
      </c>
      <c r="E1" s="7"/>
      <c r="F1" s="7" t="s">
        <v>51</v>
      </c>
      <c r="G1" s="7" t="s">
        <v>55</v>
      </c>
      <c r="H1" s="7" t="s">
        <v>56</v>
      </c>
      <c r="I1" s="7" t="s">
        <v>54</v>
      </c>
      <c r="J1" s="7"/>
      <c r="K1" s="7"/>
      <c r="L1" s="7" t="s">
        <v>195</v>
      </c>
      <c r="M1" s="48">
        <f>H5+H6+H9+H12+H13+H17</f>
        <v>-923.55</v>
      </c>
      <c r="N1" s="7"/>
      <c r="O1" s="7"/>
      <c r="P1" s="7"/>
      <c r="Q1" s="7"/>
      <c r="R1" s="7"/>
      <c r="S1" s="7"/>
      <c r="T1" s="7"/>
      <c r="U1" s="7"/>
    </row>
    <row r="2" spans="1:21">
      <c r="A2" s="15" t="s">
        <v>13</v>
      </c>
      <c r="B2" s="49">
        <f>SUMIF('BOQ Cheque'!D:D,$A2,'BOQ Cheque'!L:L) + SUMIF('BOQ Savings'!D:D,$A2,'BOQ Savings'!L:L) + SUMIF(Cash!D:D,$A2,Cash!L:L)</f>
        <v>115.43</v>
      </c>
      <c r="C2" s="49">
        <f>SUMIF('BOQ Cheque'!D:D,$A2,'BOQ Cheque'!M:M) + SUMIF('BOQ Savings'!D:D,$A2,'BOQ Savings'!M:M) + SUMIF(Cash!D:D,$A2,Cash!M:M)</f>
        <v>0</v>
      </c>
      <c r="D2" s="49">
        <f>B2+C2</f>
        <v>115.43</v>
      </c>
      <c r="F2" s="60" t="s">
        <v>14</v>
      </c>
      <c r="G2" s="49">
        <f>SUMIF('BOQ Cheque'!E:E,$F2,'BOQ Cheque'!L:L) + SUMIF('BOQ Savings'!E:E,$F2,'BOQ Savings'!L:L) + SUMIF(Cash!E:E,$F2,Cash!L:L)</f>
        <v>105</v>
      </c>
      <c r="H2" s="49">
        <f>SUMIF('BOQ Cheque'!E:E,$F2,'BOQ Cheque'!M:M) + SUMIF('BOQ Savings'!E:E,$F2,'BOQ Savings'!M:M) + SUMIF(Cash!E:E,$F2,Cash!M:M)</f>
        <v>-297.84000000000003</v>
      </c>
      <c r="I2" s="49">
        <f>G2+H2</f>
        <v>-192.84000000000003</v>
      </c>
    </row>
    <row r="3" spans="1:21">
      <c r="A3" s="9" t="s">
        <v>16</v>
      </c>
      <c r="B3" s="49">
        <f>SUMIF('BOQ Cheque'!D:D,$A3,'BOQ Cheque'!L:L) + SUMIF('BOQ Savings'!D:D,$A3,'BOQ Savings'!L:L) + SUMIF(Cash!D:D,$A3,Cash!L:L)</f>
        <v>590.79999999999995</v>
      </c>
      <c r="C3" s="49">
        <f>SUMIF('BOQ Cheque'!D:D,$A3,'BOQ Cheque'!M:M) + SUMIF('BOQ Savings'!D:D,$A3,'BOQ Savings'!M:M) + SUMIF(Cash!D:D,$A3,Cash!M:M)</f>
        <v>0</v>
      </c>
      <c r="D3" s="49">
        <f t="shared" ref="D3:D11" si="0">B3+C3</f>
        <v>590.79999999999995</v>
      </c>
      <c r="F3" s="55" t="s">
        <v>17</v>
      </c>
      <c r="G3" s="49">
        <f>SUMIF('BOQ Cheque'!E:E,$F3,'BOQ Cheque'!L:L) + SUMIF('BOQ Savings'!E:E,$F3,'BOQ Savings'!L:L) + SUMIF(Cash!E:E,$F3,Cash!L:L)</f>
        <v>6225</v>
      </c>
      <c r="H3" s="49">
        <f>SUMIF('BOQ Cheque'!E:E,$F3,'BOQ Cheque'!M:M) + SUMIF('BOQ Savings'!E:E,$F3,'BOQ Savings'!M:M) + SUMIF(Cash!E:E,$F3,Cash!M:M)</f>
        <v>-610</v>
      </c>
      <c r="I3" s="49">
        <f t="shared" ref="I3:I15" si="1">G3+H3</f>
        <v>5615</v>
      </c>
    </row>
    <row r="4" spans="1:21">
      <c r="A4" s="9" t="s">
        <v>19</v>
      </c>
      <c r="B4" s="49">
        <f>SUMIF('BOQ Cheque'!D:D,$A4,'BOQ Cheque'!L:L) + SUMIF('BOQ Savings'!D:D,$A4,'BOQ Savings'!L:L) + SUMIF(Cash!D:D,$A4,Cash!L:L)</f>
        <v>0</v>
      </c>
      <c r="C4" s="49">
        <f>SUMIF('BOQ Cheque'!D:D,$A4,'BOQ Cheque'!M:M) + SUMIF('BOQ Savings'!D:D,$A4,'BOQ Savings'!M:M) + SUMIF(Cash!D:D,$A4,Cash!M:M)</f>
        <v>-500</v>
      </c>
      <c r="D4" s="49">
        <f t="shared" si="0"/>
        <v>-500</v>
      </c>
      <c r="F4" s="55" t="s">
        <v>196</v>
      </c>
      <c r="G4" s="49">
        <f>SUMIF('BOQ Cheque'!E:E,$F4,'BOQ Cheque'!L:L) + SUMIF('BOQ Savings'!E:E,$F4,'BOQ Savings'!L:L) + SUMIF(Cash!E:E,$F4,Cash!L:L)</f>
        <v>0</v>
      </c>
      <c r="H4" s="49">
        <f>SUMIF('BOQ Cheque'!E:E,$F4,'BOQ Cheque'!M:M) + SUMIF('BOQ Savings'!E:E,$F4,'BOQ Savings'!M:M) + SUMIF(Cash!E:E,$F4,Cash!M:M)</f>
        <v>0</v>
      </c>
      <c r="I4" s="49">
        <f t="shared" si="1"/>
        <v>0</v>
      </c>
    </row>
    <row r="5" spans="1:21">
      <c r="A5" s="9" t="s">
        <v>22</v>
      </c>
      <c r="B5" s="49">
        <f>SUMIF('BOQ Cheque'!D:D,$A5,'BOQ Cheque'!L:L) + SUMIF('BOQ Savings'!D:D,$A5,'BOQ Savings'!L:L) + SUMIF(Cash!D:D,$A5,Cash!L:L)</f>
        <v>0</v>
      </c>
      <c r="C5" s="49">
        <f>SUMIF('BOQ Cheque'!D:D,$A5,'BOQ Cheque'!M:M) + SUMIF('BOQ Savings'!D:D,$A5,'BOQ Savings'!M:M) + SUMIF(Cash!D:D,$A5,Cash!M:M)</f>
        <v>-193.05</v>
      </c>
      <c r="D5" s="49">
        <f t="shared" si="0"/>
        <v>-193.05</v>
      </c>
      <c r="F5" s="55" t="s">
        <v>23</v>
      </c>
      <c r="G5" s="49">
        <f>SUMIF('BOQ Cheque'!E:E,$F5,'BOQ Cheque'!L:L) + SUMIF('BOQ Savings'!E:E,$F5,'BOQ Savings'!L:L) + SUMIF(Cash!E:E,$F5,Cash!L:L)</f>
        <v>56</v>
      </c>
      <c r="H5" s="49">
        <f>SUMIF('BOQ Cheque'!E:E,$F5,'BOQ Cheque'!M:M) + SUMIF('BOQ Savings'!E:E,$F5,'BOQ Savings'!M:M) + SUMIF(Cash!E:E,$F5,Cash!M:M)</f>
        <v>-149.5</v>
      </c>
      <c r="I5" s="49">
        <f t="shared" si="1"/>
        <v>-93.5</v>
      </c>
    </row>
    <row r="6" spans="1:21">
      <c r="A6" s="9" t="s">
        <v>24</v>
      </c>
      <c r="B6" s="49">
        <f>SUMIF('BOQ Cheque'!D:D,$A6,'BOQ Cheque'!L:L) + SUMIF('BOQ Savings'!D:D,$A6,'BOQ Savings'!L:L) + SUMIF(Cash!D:D,$A6,Cash!L:L)</f>
        <v>5225</v>
      </c>
      <c r="C6" s="49">
        <f>SUMIF('BOQ Cheque'!D:D,$A6,'BOQ Cheque'!M:M) + SUMIF('BOQ Savings'!D:D,$A6,'BOQ Savings'!M:M) + SUMIF(Cash!D:D,$A6,Cash!M:M)</f>
        <v>-110</v>
      </c>
      <c r="D6" s="49">
        <f t="shared" si="0"/>
        <v>5115</v>
      </c>
      <c r="F6" s="55" t="s">
        <v>25</v>
      </c>
      <c r="G6" s="49">
        <f>SUMIF('BOQ Cheque'!E:E,$F6,'BOQ Cheque'!L:L) + SUMIF('BOQ Savings'!E:E,$F6,'BOQ Savings'!L:L) + SUMIF(Cash!E:E,$F6,Cash!L:L)</f>
        <v>76</v>
      </c>
      <c r="H6" s="49">
        <f>SUMIF('BOQ Cheque'!E:E,$F6,'BOQ Cheque'!M:M) + SUMIF('BOQ Savings'!E:E,$F6,'BOQ Savings'!M:M) + SUMIF(Cash!E:E,$F6,Cash!M:M)</f>
        <v>-231.5</v>
      </c>
      <c r="I6" s="49">
        <f t="shared" si="1"/>
        <v>-155.5</v>
      </c>
    </row>
    <row r="7" spans="1:21">
      <c r="A7" s="9" t="s">
        <v>26</v>
      </c>
      <c r="B7" s="49">
        <f>SUMIF('BOQ Cheque'!D:D,$A7,'BOQ Cheque'!L:L) + SUMIF('BOQ Savings'!D:D,$A7,'BOQ Savings'!L:L) + SUMIF(Cash!D:D,$A7,Cash!L:L)</f>
        <v>0</v>
      </c>
      <c r="C7" s="49">
        <f>SUMIF('BOQ Cheque'!D:D,$A7,'BOQ Cheque'!M:M) + SUMIF('BOQ Savings'!D:D,$A7,'BOQ Savings'!M:M) + SUMIF(Cash!D:D,$A7,Cash!M:M)</f>
        <v>0</v>
      </c>
      <c r="D7" s="49">
        <f t="shared" si="0"/>
        <v>0</v>
      </c>
      <c r="F7" s="55" t="s">
        <v>197</v>
      </c>
      <c r="G7" s="49">
        <f>SUMIF('BOQ Cheque'!E:E,$F7,'BOQ Cheque'!L:L) + SUMIF('BOQ Savings'!E:E,$F7,'BOQ Savings'!L:L) + SUMIF(Cash!E:E,$F7,Cash!L:L)</f>
        <v>0</v>
      </c>
      <c r="H7" s="49">
        <f>SUMIF('BOQ Cheque'!E:E,$F7,'BOQ Cheque'!M:M) + SUMIF('BOQ Savings'!E:E,$F7,'BOQ Savings'!M:M) + SUMIF(Cash!E:E,$F7,Cash!M:M)</f>
        <v>0</v>
      </c>
      <c r="I7" s="49">
        <f t="shared" si="1"/>
        <v>0</v>
      </c>
    </row>
    <row r="8" spans="1:21">
      <c r="A8" s="9" t="s">
        <v>28</v>
      </c>
      <c r="B8" s="49">
        <f>SUMIF('BOQ Cheque'!D:D,$A8,'BOQ Cheque'!L:L) + SUMIF('BOQ Savings'!D:D,$A8,'BOQ Savings'!L:L) + SUMIF(Cash!D:D,$A8,Cash!L:L)</f>
        <v>1073.1099999999999</v>
      </c>
      <c r="C8" s="49">
        <f>SUMIF('BOQ Cheque'!D:D,$A8,'BOQ Cheque'!M:M) + SUMIF('BOQ Savings'!D:D,$A8,'BOQ Savings'!M:M) + SUMIF(Cash!D:D,$A8,Cash!M:M)</f>
        <v>-920.61</v>
      </c>
      <c r="D8" s="49">
        <f t="shared" si="0"/>
        <v>152.49999999999989</v>
      </c>
      <c r="F8" s="55" t="s">
        <v>198</v>
      </c>
      <c r="G8" s="49">
        <f>SUMIF('BOQ Cheque'!E:E,$F8,'BOQ Cheque'!L:L) + SUMIF('BOQ Savings'!E:E,$F8,'BOQ Savings'!L:L) + SUMIF(Cash!E:E,$F8,Cash!L:L)</f>
        <v>0</v>
      </c>
      <c r="H8" s="49">
        <f>SUMIF('BOQ Cheque'!E:E,$F8,'BOQ Cheque'!M:M) + SUMIF('BOQ Savings'!E:E,$F8,'BOQ Savings'!M:M) + SUMIF(Cash!E:E,$F8,Cash!M:M)</f>
        <v>0</v>
      </c>
      <c r="I8" s="49">
        <f t="shared" si="1"/>
        <v>0</v>
      </c>
    </row>
    <row r="9" spans="1:21">
      <c r="A9" s="9" t="s">
        <v>32</v>
      </c>
      <c r="B9" s="49">
        <f>SUMIF('BOQ Cheque'!D:D,$A9,'BOQ Cheque'!L:L) + SUMIF('BOQ Savings'!D:D,$A9,'BOQ Savings'!L:L) + SUMIF(Cash!D:D,$A9,Cash!L:L)</f>
        <v>0</v>
      </c>
      <c r="C9" s="49">
        <f>SUMIF('BOQ Cheque'!D:D,$A9,'BOQ Cheque'!M:M) + SUMIF('BOQ Savings'!D:D,$A9,'BOQ Savings'!M:M) + SUMIF(Cash!D:D,$A9,Cash!M:M)</f>
        <v>-819.88</v>
      </c>
      <c r="D9" s="49">
        <f t="shared" si="0"/>
        <v>-819.88</v>
      </c>
      <c r="F9" s="55" t="s">
        <v>31</v>
      </c>
      <c r="G9" s="49">
        <f>SUMIF('BOQ Cheque'!E:E,$F9,'BOQ Cheque'!L:L) + SUMIF('BOQ Savings'!E:E,$F9,'BOQ Savings'!L:L) + SUMIF(Cash!E:E,$F9,Cash!L:L)</f>
        <v>90</v>
      </c>
      <c r="H9" s="49">
        <f>SUMIF('BOQ Cheque'!E:E,$F9,'BOQ Cheque'!M:M) + SUMIF('BOQ Savings'!E:E,$F9,'BOQ Savings'!M:M) + SUMIF(Cash!E:E,$F9,Cash!M:M)</f>
        <v>-136</v>
      </c>
      <c r="I9" s="49">
        <f t="shared" si="1"/>
        <v>-46</v>
      </c>
    </row>
    <row r="10" spans="1:21">
      <c r="A10" s="9" t="s">
        <v>34</v>
      </c>
      <c r="B10" s="49">
        <f>SUMIF('BOQ Cheque'!D:D,$A10,'BOQ Cheque'!L:L) + SUMIF('BOQ Savings'!D:D,$A10,'BOQ Savings'!L:L) + SUMIF(Cash!D:D,$A10,Cash!L:L)</f>
        <v>180</v>
      </c>
      <c r="C10" s="49">
        <f>SUMIF('BOQ Cheque'!D:D,$A10,'BOQ Cheque'!M:M) + SUMIF('BOQ Savings'!D:D,$A10,'BOQ Savings'!M:M) + SUMIF(Cash!D:D,$A10,Cash!M:M)</f>
        <v>-4289.3600000000006</v>
      </c>
      <c r="D10" s="49">
        <f t="shared" si="0"/>
        <v>-4109.3600000000006</v>
      </c>
      <c r="F10" s="55" t="s">
        <v>33</v>
      </c>
      <c r="G10" s="49">
        <f>SUMIF('BOQ Cheque'!E:E,$F10,'BOQ Cheque'!L:L) + SUMIF('BOQ Savings'!E:E,$F10,'BOQ Savings'!L:L) + SUMIF(Cash!E:E,$F10,Cash!L:L)</f>
        <v>0</v>
      </c>
      <c r="H10" s="49">
        <f>SUMIF('BOQ Cheque'!E:E,$F10,'BOQ Cheque'!M:M) + SUMIF('BOQ Savings'!E:E,$F10,'BOQ Savings'!M:M) + SUMIF(Cash!E:E,$F10,Cash!M:M)</f>
        <v>0</v>
      </c>
      <c r="I10" s="49">
        <f t="shared" si="1"/>
        <v>0</v>
      </c>
    </row>
    <row r="11" spans="1:21">
      <c r="A11" s="10" t="s">
        <v>36</v>
      </c>
      <c r="B11" s="49">
        <f>SUMIF('BOQ Cheque'!D:D,$A11,'BOQ Cheque'!L:L) + SUMIF('BOQ Savings'!D:D,$A11,'BOQ Savings'!L:L) + SUMIF(Cash!D:D,$A11,Cash!L:L)</f>
        <v>1000</v>
      </c>
      <c r="C11" s="49">
        <f>SUMIF('BOQ Cheque'!D:D,$A11,'BOQ Cheque'!M:M) + SUMIF('BOQ Savings'!D:D,$A11,'BOQ Savings'!M:M) + SUMIF(Cash!D:D,$A11,Cash!M:M)</f>
        <v>0</v>
      </c>
      <c r="D11" s="49">
        <f t="shared" si="0"/>
        <v>1000</v>
      </c>
      <c r="F11" s="55" t="s">
        <v>35</v>
      </c>
      <c r="G11" s="49">
        <f>SUMIF('BOQ Cheque'!E:E,$F11,'BOQ Cheque'!L:L) + SUMIF('BOQ Savings'!E:E,$F11,'BOQ Savings'!L:L) + SUMIF(Cash!E:E,$F11,Cash!L:L)</f>
        <v>0</v>
      </c>
      <c r="H11" s="49">
        <f>SUMIF('BOQ Cheque'!E:E,$F11,'BOQ Cheque'!M:M) + SUMIF('BOQ Savings'!E:E,$F11,'BOQ Savings'!M:M) + SUMIF(Cash!E:E,$F11,Cash!M:M)</f>
        <v>-36</v>
      </c>
      <c r="I11" s="49">
        <f t="shared" si="1"/>
        <v>-36</v>
      </c>
    </row>
    <row r="12" spans="1:21">
      <c r="F12" s="55" t="s">
        <v>37</v>
      </c>
      <c r="G12" s="49">
        <f>SUMIF('BOQ Cheque'!E:E,$F12,'BOQ Cheque'!L:L) + SUMIF('BOQ Savings'!E:E,$F12,'BOQ Savings'!L:L) + SUMIF(Cash!E:E,$F12,Cash!L:L)</f>
        <v>56</v>
      </c>
      <c r="H12" s="49">
        <f>SUMIF('BOQ Cheque'!E:E,$F12,'BOQ Cheque'!M:M) + SUMIF('BOQ Savings'!E:E,$F12,'BOQ Savings'!M:M) + SUMIF(Cash!E:E,$F12,Cash!M:M)</f>
        <v>-152.05000000000001</v>
      </c>
      <c r="I12" s="49">
        <f t="shared" si="1"/>
        <v>-96.050000000000011</v>
      </c>
    </row>
    <row r="13" spans="1:21">
      <c r="B13" s="66">
        <f>SUM(B2:B11)</f>
        <v>8184.3399999999992</v>
      </c>
      <c r="C13" s="66">
        <f>SUM(C2:C11)</f>
        <v>-6832.9000000000005</v>
      </c>
      <c r="D13" s="66">
        <f>SUM(D2:D11)</f>
        <v>1351.4399999999996</v>
      </c>
      <c r="F13" s="55" t="s">
        <v>39</v>
      </c>
      <c r="G13" s="49">
        <f>SUMIF('BOQ Cheque'!E:E,$F13,'BOQ Cheque'!L:L) + SUMIF('BOQ Savings'!E:E,$F13,'BOQ Savings'!L:L) + SUMIF(Cash!E:E,$F13,Cash!L:L)</f>
        <v>49.8</v>
      </c>
      <c r="H13" s="49">
        <f>SUMIF('BOQ Cheque'!E:E,$F13,'BOQ Cheque'!M:M) + SUMIF('BOQ Savings'!E:E,$F13,'BOQ Savings'!M:M) + SUMIF(Cash!E:E,$F13,Cash!M:M)</f>
        <v>-254.5</v>
      </c>
      <c r="I13" s="49">
        <f t="shared" si="1"/>
        <v>-204.7</v>
      </c>
    </row>
    <row r="14" spans="1:21">
      <c r="C14" s="49"/>
      <c r="F14" s="58" t="s">
        <v>40</v>
      </c>
      <c r="G14" s="49">
        <f>SUMIF('BOQ Cheque'!E:E,$F14,'BOQ Cheque'!L:L) + SUMIF('BOQ Savings'!E:E,$F14,'BOQ Savings'!L:L) + SUMIF(Cash!E:E,$F14,Cash!L:L)</f>
        <v>0</v>
      </c>
      <c r="H14" s="49">
        <f>SUMIF('BOQ Cheque'!E:E,$F14,'BOQ Cheque'!M:M) + SUMIF('BOQ Savings'!E:E,$F14,'BOQ Savings'!M:M) + SUMIF(Cash!E:E,$F14,Cash!M:M)</f>
        <v>0</v>
      </c>
      <c r="I14" s="49">
        <f t="shared" si="1"/>
        <v>0</v>
      </c>
    </row>
    <row r="15" spans="1:21" ht="15">
      <c r="F15" s="62" t="s">
        <v>41</v>
      </c>
      <c r="G15" s="49">
        <f>SUMIF('BOQ Cheque'!E:E,$F15,'BOQ Cheque'!L:L) + SUMIF('BOQ Savings'!E:E,$F15,'BOQ Savings'!L:L) + SUMIF(Cash!E:E,$F15,Cash!L:L)</f>
        <v>0</v>
      </c>
      <c r="H15" s="49">
        <f>SUMIF('BOQ Cheque'!E:E,$F15,'BOQ Cheque'!M:M) + SUMIF('BOQ Savings'!E:E,$F15,'BOQ Savings'!M:M) + SUMIF(Cash!E:E,$F15,Cash!M:M)</f>
        <v>0</v>
      </c>
      <c r="I15" s="49">
        <f t="shared" si="1"/>
        <v>0</v>
      </c>
    </row>
    <row r="16" spans="1:21" ht="15">
      <c r="F16" s="62" t="s">
        <v>43</v>
      </c>
      <c r="G16" s="49">
        <f>SUMIF('BOQ Cheque'!E:E,$F16,'BOQ Cheque'!L:L) + SUMIF('BOQ Savings'!E:E,$F16,'BOQ Savings'!L:L) + SUMIF(Cash!E:E,$F16,Cash!L:L)</f>
        <v>0</v>
      </c>
      <c r="H16" s="49">
        <f>SUMIF('BOQ Cheque'!E:E,$F16,'BOQ Cheque'!M:M) + SUMIF('BOQ Savings'!E:E,$F16,'BOQ Savings'!M:M) + SUMIF(Cash!E:E,$F16,Cash!M:M)</f>
        <v>0</v>
      </c>
      <c r="I16" s="49">
        <f>G16+H16</f>
        <v>0</v>
      </c>
    </row>
    <row r="17" spans="6:9" ht="15">
      <c r="F17" s="65" t="s">
        <v>199</v>
      </c>
      <c r="G17" s="49">
        <f>SUMIF('BOQ Cheque'!E:E,$F17,'BOQ Cheque'!L:L) + SUMIF('BOQ Savings'!E:E,$F17,'BOQ Savings'!L:L) + SUMIF(Cash!E:E,$F17,Cash!L:L)</f>
        <v>0</v>
      </c>
      <c r="H17" s="49">
        <f>SUMIF('BOQ Cheque'!E:E,$F17,'BOQ Cheque'!M:M) + SUMIF('BOQ Savings'!E:E,$F17,'BOQ Savings'!M:M) + SUMIF(Cash!E:E,$F17,Cash!M:M)</f>
        <v>0</v>
      </c>
      <c r="I17" s="49">
        <f>G17+H17</f>
        <v>0</v>
      </c>
    </row>
    <row r="18" spans="6:9" ht="15">
      <c r="F18" s="63" t="s">
        <v>46</v>
      </c>
      <c r="G18" s="49">
        <f>SUMIF('BOQ Cheque'!E:E,$F18,'BOQ Cheque'!L:L) + SUMIF('BOQ Savings'!E:E,$F18,'BOQ Savings'!L:L) + SUMIF(Cash!E:E,$F18,Cash!L:L)</f>
        <v>4530.1400000000012</v>
      </c>
      <c r="H18" s="49">
        <f>SUMIF('BOQ Cheque'!E:E,$F18,'BOQ Cheque'!M:M) + SUMIF('BOQ Savings'!E:E,$F18,'BOQ Savings'!M:M) + SUMIF(Cash!E:E,$F18,Cash!M:M)</f>
        <v>-5082.09</v>
      </c>
      <c r="I18" s="49">
        <f>G18+H18</f>
        <v>-551.94999999999891</v>
      </c>
    </row>
    <row r="19" spans="6:9" ht="15"/>
    <row r="20" spans="6:9" ht="15">
      <c r="H20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2107-8778-43E1-88D7-B4792BDC5690}">
  <dimension ref="A1"/>
  <sheetViews>
    <sheetView topLeftCell="A29" workbookViewId="0">
      <selection activeCell="X41" sqref="X41"/>
    </sheetView>
  </sheetViews>
  <sheetFormatPr defaultRowHeight="14.4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6"/>
  <sheetViews>
    <sheetView workbookViewId="0">
      <selection activeCell="D19" sqref="D19"/>
    </sheetView>
  </sheetViews>
  <sheetFormatPr defaultRowHeight="14.45"/>
  <cols>
    <col min="1" max="1" width="42" customWidth="1"/>
    <col min="2" max="2" width="10.140625" customWidth="1"/>
    <col min="3" max="3" width="10.140625" style="1" customWidth="1"/>
    <col min="4" max="4" width="20.7109375" style="1" customWidth="1"/>
    <col min="5" max="5" width="37.7109375" customWidth="1"/>
    <col min="6" max="6" width="13.7109375" style="17" customWidth="1"/>
    <col min="7" max="7" width="14.140625" style="17" customWidth="1"/>
    <col min="8" max="8" width="15.85546875" customWidth="1"/>
  </cols>
  <sheetData>
    <row r="1" spans="1:7" ht="30" customHeight="1">
      <c r="A1" s="22" t="s">
        <v>200</v>
      </c>
      <c r="B1" s="23" t="s">
        <v>201</v>
      </c>
      <c r="C1" s="24" t="s">
        <v>202</v>
      </c>
      <c r="D1" s="24" t="s">
        <v>203</v>
      </c>
      <c r="E1" s="25" t="s">
        <v>204</v>
      </c>
      <c r="F1" s="18" t="s">
        <v>205</v>
      </c>
      <c r="G1" s="19" t="s">
        <v>56</v>
      </c>
    </row>
    <row r="2" spans="1:7" ht="15">
      <c r="A2" s="81" t="s">
        <v>206</v>
      </c>
      <c r="B2" s="82">
        <v>85</v>
      </c>
      <c r="C2" s="83">
        <v>55</v>
      </c>
      <c r="D2" s="83" t="s">
        <v>205</v>
      </c>
      <c r="E2" s="84"/>
      <c r="F2" s="39">
        <f>IF(D2="Income",B2*C2,"")</f>
        <v>4675</v>
      </c>
      <c r="G2" s="38" t="str">
        <f>IF(D2="Expenditure",B2*C2,"")</f>
        <v/>
      </c>
    </row>
    <row r="3" spans="1:7" ht="15">
      <c r="A3" s="94" t="s">
        <v>207</v>
      </c>
      <c r="B3" s="95">
        <v>50</v>
      </c>
      <c r="C3" s="96">
        <v>50</v>
      </c>
      <c r="D3" s="96" t="s">
        <v>205</v>
      </c>
      <c r="E3" s="97"/>
      <c r="F3" s="39">
        <f>IF(D3="Income",B3*C3,"")</f>
        <v>2500</v>
      </c>
      <c r="G3" s="38" t="str">
        <f>IF(D3="Expenditure",B3*C3,"")</f>
        <v/>
      </c>
    </row>
    <row r="4" spans="1:7" ht="15">
      <c r="A4" s="111" t="s">
        <v>208</v>
      </c>
      <c r="B4" s="89">
        <v>1</v>
      </c>
      <c r="C4" s="90">
        <v>1500</v>
      </c>
      <c r="D4" s="98" t="s">
        <v>205</v>
      </c>
      <c r="E4" s="112"/>
      <c r="F4" s="39">
        <f>IF(D4="Income",B4*C4,"")</f>
        <v>1500</v>
      </c>
      <c r="G4" s="38" t="str">
        <f>IF(D4="Expenditure",B4*C4,"")</f>
        <v/>
      </c>
    </row>
    <row r="5" spans="1:7" ht="15">
      <c r="A5" s="113" t="s">
        <v>209</v>
      </c>
      <c r="B5" s="114">
        <v>1</v>
      </c>
      <c r="C5" s="115">
        <v>1000</v>
      </c>
      <c r="D5" s="92" t="s">
        <v>205</v>
      </c>
      <c r="E5" s="88"/>
      <c r="F5" s="93">
        <f>IF(D5="Income",B5*C5,"")</f>
        <v>1000</v>
      </c>
      <c r="G5" s="38" t="str">
        <f>IF(D5="Expenditure",B5*C5,"")</f>
        <v/>
      </c>
    </row>
    <row r="6" spans="1:7" ht="15">
      <c r="A6" s="99" t="s">
        <v>210</v>
      </c>
      <c r="B6" s="116">
        <v>7</v>
      </c>
      <c r="C6" s="117">
        <v>100</v>
      </c>
      <c r="D6" s="118" t="s">
        <v>205</v>
      </c>
      <c r="E6" s="119"/>
      <c r="F6" s="39">
        <f>IF(D6="Income",B6*C6,"")</f>
        <v>700</v>
      </c>
      <c r="G6" s="38" t="str">
        <f>IF(D6="Expenditure",B6*C6,"")</f>
        <v/>
      </c>
    </row>
    <row r="7" spans="1:7" ht="15">
      <c r="A7" s="85" t="s">
        <v>211</v>
      </c>
      <c r="B7" s="86">
        <v>20</v>
      </c>
      <c r="C7" s="87">
        <v>35</v>
      </c>
      <c r="D7" s="87" t="s">
        <v>205</v>
      </c>
      <c r="E7" s="88"/>
      <c r="F7" s="39">
        <f>IF(D7="Income",B7*C7,"")</f>
        <v>700</v>
      </c>
      <c r="G7" s="38" t="str">
        <f>IF(D7="Expenditure",B7*C7,"")</f>
        <v/>
      </c>
    </row>
    <row r="8" spans="1:7" ht="15">
      <c r="A8" s="81" t="s">
        <v>212</v>
      </c>
      <c r="B8" s="82">
        <v>20</v>
      </c>
      <c r="C8" s="83">
        <v>25</v>
      </c>
      <c r="D8" s="83" t="s">
        <v>205</v>
      </c>
      <c r="E8" s="84"/>
      <c r="F8" s="39">
        <f>IF(D8="Income",B8*C8,"")</f>
        <v>500</v>
      </c>
      <c r="G8" s="38" t="str">
        <f t="shared" ref="G8" si="0">IF(D8="Expenditure",B8*C8,"")</f>
        <v/>
      </c>
    </row>
    <row r="9" spans="1:7" ht="15">
      <c r="A9" s="85" t="s">
        <v>213</v>
      </c>
      <c r="B9" s="86">
        <v>10</v>
      </c>
      <c r="C9" s="87">
        <v>50</v>
      </c>
      <c r="D9" s="87" t="s">
        <v>205</v>
      </c>
      <c r="E9" s="88"/>
      <c r="F9" s="39">
        <f>IF(D9="Income",B9*C9,"")</f>
        <v>500</v>
      </c>
      <c r="G9" s="38" t="str">
        <f>IF(D9="Expenditure",B9*C9,"")</f>
        <v/>
      </c>
    </row>
    <row r="10" spans="1:7" ht="15">
      <c r="A10" s="81" t="s">
        <v>214</v>
      </c>
      <c r="B10" s="82">
        <v>15</v>
      </c>
      <c r="C10" s="83">
        <v>30</v>
      </c>
      <c r="D10" s="83" t="s">
        <v>205</v>
      </c>
      <c r="E10" s="84"/>
      <c r="F10" s="39">
        <f>IF(D10="Income",B10*C10,"")</f>
        <v>450</v>
      </c>
      <c r="G10" s="38" t="str">
        <f>IF(D10="Expenditure",B10*C10,"")</f>
        <v/>
      </c>
    </row>
    <row r="11" spans="1:7" ht="15">
      <c r="A11" s="85" t="s">
        <v>215</v>
      </c>
      <c r="B11" s="86">
        <v>0</v>
      </c>
      <c r="C11" s="87">
        <v>15</v>
      </c>
      <c r="D11" s="87" t="s">
        <v>205</v>
      </c>
      <c r="E11" s="88"/>
      <c r="F11" s="39">
        <f>IF(D11="Income",B11*C11,"")</f>
        <v>0</v>
      </c>
      <c r="G11" s="38" t="str">
        <f t="shared" ref="G11:G16" si="1">IF(D11="Expenditure",B11*C11,"")</f>
        <v/>
      </c>
    </row>
    <row r="12" spans="1:7" ht="15">
      <c r="A12" s="81" t="s">
        <v>216</v>
      </c>
      <c r="B12" s="82">
        <v>8</v>
      </c>
      <c r="C12" s="83">
        <v>35</v>
      </c>
      <c r="D12" s="83" t="s">
        <v>205</v>
      </c>
      <c r="E12" s="84"/>
      <c r="F12" s="39">
        <f>IF(D12="Income",B12*C12,"")</f>
        <v>280</v>
      </c>
      <c r="G12" s="38" t="str">
        <f t="shared" si="1"/>
        <v/>
      </c>
    </row>
    <row r="13" spans="1:7" ht="15">
      <c r="A13" s="85" t="s">
        <v>217</v>
      </c>
      <c r="B13" s="86">
        <v>5</v>
      </c>
      <c r="C13" s="87">
        <v>60</v>
      </c>
      <c r="D13" s="87" t="s">
        <v>205</v>
      </c>
      <c r="E13" s="88"/>
      <c r="F13" s="39">
        <f>IF(D13="Income",B13*C13,"")</f>
        <v>300</v>
      </c>
      <c r="G13" s="38" t="str">
        <f t="shared" si="1"/>
        <v/>
      </c>
    </row>
    <row r="14" spans="1:7" ht="15">
      <c r="A14" s="81" t="s">
        <v>218</v>
      </c>
      <c r="B14" s="82">
        <v>12</v>
      </c>
      <c r="C14" s="83">
        <v>18.5</v>
      </c>
      <c r="D14" s="98" t="s">
        <v>205</v>
      </c>
      <c r="E14" s="84" t="s">
        <v>219</v>
      </c>
      <c r="F14" s="39">
        <f>IF(D14="Income",B14*C14,"")</f>
        <v>222</v>
      </c>
      <c r="G14" s="38" t="str">
        <f t="shared" ref="G14" si="2">IF(D14="Expenditure",B14*C14,"")</f>
        <v/>
      </c>
    </row>
    <row r="15" spans="1:7" ht="15">
      <c r="A15" s="85" t="s">
        <v>220</v>
      </c>
      <c r="B15" s="86">
        <v>30</v>
      </c>
      <c r="C15" s="87">
        <v>0</v>
      </c>
      <c r="D15" s="96" t="s">
        <v>205</v>
      </c>
      <c r="E15" s="88"/>
      <c r="F15" s="39">
        <f>IF(D15="Income",B15*C15,"")</f>
        <v>0</v>
      </c>
      <c r="G15" s="38" t="str">
        <f t="shared" si="1"/>
        <v/>
      </c>
    </row>
    <row r="16" spans="1:7" ht="15">
      <c r="A16" s="81" t="s">
        <v>221</v>
      </c>
      <c r="B16" s="120">
        <v>1</v>
      </c>
      <c r="C16" s="101">
        <v>0</v>
      </c>
      <c r="D16" s="101" t="s">
        <v>205</v>
      </c>
      <c r="E16" s="84"/>
      <c r="F16" s="39">
        <f>IF(D16="Income",B16*C16,"")</f>
        <v>0</v>
      </c>
      <c r="G16" s="38" t="str">
        <f t="shared" si="1"/>
        <v/>
      </c>
    </row>
    <row r="17" spans="1:7" ht="15">
      <c r="A17" s="102" t="s">
        <v>222</v>
      </c>
      <c r="B17" s="103">
        <v>65</v>
      </c>
      <c r="C17" s="104">
        <v>60</v>
      </c>
      <c r="D17" s="105" t="s">
        <v>56</v>
      </c>
      <c r="E17" s="91"/>
      <c r="F17" s="39" t="str">
        <f>IF(D17="Income",B17*C17,"")</f>
        <v/>
      </c>
      <c r="G17" s="38">
        <f>IF(D17="Expenditure",B17*C17,"")</f>
        <v>3900</v>
      </c>
    </row>
    <row r="18" spans="1:7" ht="15">
      <c r="A18" s="106" t="s">
        <v>223</v>
      </c>
      <c r="B18" s="107">
        <v>23</v>
      </c>
      <c r="C18" s="92">
        <v>60</v>
      </c>
      <c r="D18" s="108" t="s">
        <v>56</v>
      </c>
      <c r="E18" s="88"/>
      <c r="F18" s="39" t="str">
        <f>IF(D18="Income",B18*C18,"")</f>
        <v/>
      </c>
      <c r="G18" s="38">
        <f>IF(D18="Expenditure",B18*C18,"")</f>
        <v>1380</v>
      </c>
    </row>
    <row r="19" spans="1:7" ht="15">
      <c r="A19" s="81" t="s">
        <v>224</v>
      </c>
      <c r="B19" s="89">
        <v>1</v>
      </c>
      <c r="C19" s="90">
        <v>1500</v>
      </c>
      <c r="D19" s="109" t="s">
        <v>56</v>
      </c>
      <c r="E19" s="84" t="s">
        <v>225</v>
      </c>
      <c r="F19" s="93" t="str">
        <f>IF(D19="Income",B19*C19,"")</f>
        <v/>
      </c>
      <c r="G19" s="38">
        <f>IF(D19="Expenditure",B19*C19,"")</f>
        <v>1500</v>
      </c>
    </row>
    <row r="20" spans="1:7" ht="15">
      <c r="A20" s="85" t="s">
        <v>226</v>
      </c>
      <c r="B20" s="86">
        <v>6</v>
      </c>
      <c r="C20" s="87">
        <v>200</v>
      </c>
      <c r="D20" s="87" t="s">
        <v>56</v>
      </c>
      <c r="E20" s="110"/>
      <c r="F20" s="39" t="str">
        <f>IF(D20="Income",B20*C20,"")</f>
        <v/>
      </c>
      <c r="G20" s="38">
        <f>IF(D20="Expenditure",B20*C20,"")</f>
        <v>1200</v>
      </c>
    </row>
    <row r="21" spans="1:7" ht="15">
      <c r="A21" s="81" t="s">
        <v>227</v>
      </c>
      <c r="B21" s="82">
        <v>3</v>
      </c>
      <c r="C21" s="83">
        <v>311</v>
      </c>
      <c r="D21" s="83" t="s">
        <v>56</v>
      </c>
      <c r="E21" s="100"/>
      <c r="F21" s="39" t="str">
        <f>IF(D21="Income",B21*C21,"")</f>
        <v/>
      </c>
      <c r="G21" s="38">
        <f>IF(D21="Expenditure",B21*C21,"")</f>
        <v>933</v>
      </c>
    </row>
    <row r="22" spans="1:7" ht="15">
      <c r="A22" s="85" t="s">
        <v>228</v>
      </c>
      <c r="B22" s="86">
        <v>1</v>
      </c>
      <c r="C22" s="87">
        <v>800</v>
      </c>
      <c r="D22" s="87" t="s">
        <v>56</v>
      </c>
      <c r="E22" s="88"/>
      <c r="F22" s="39" t="str">
        <f>IF(D22="Income",B22*C22,"")</f>
        <v/>
      </c>
      <c r="G22" s="38">
        <f>IF(D22="Expenditure",B22*C22,"")</f>
        <v>800</v>
      </c>
    </row>
    <row r="23" spans="1:7" ht="15">
      <c r="A23" s="81" t="s">
        <v>229</v>
      </c>
      <c r="B23" s="82">
        <v>0</v>
      </c>
      <c r="C23" s="83">
        <v>800</v>
      </c>
      <c r="D23" s="83" t="s">
        <v>56</v>
      </c>
      <c r="E23" s="84" t="s">
        <v>230</v>
      </c>
      <c r="F23" s="39" t="str">
        <f>IF(D23="Income",B23*C23,"")</f>
        <v/>
      </c>
      <c r="G23" s="38">
        <f>IF(D23="Expenditure",B23*C23,"")</f>
        <v>0</v>
      </c>
    </row>
    <row r="24" spans="1:7" ht="15">
      <c r="A24" s="85" t="s">
        <v>231</v>
      </c>
      <c r="B24" s="86">
        <v>20</v>
      </c>
      <c r="C24" s="87">
        <v>38.5</v>
      </c>
      <c r="D24" s="87" t="s">
        <v>56</v>
      </c>
      <c r="E24" s="88" t="s">
        <v>232</v>
      </c>
      <c r="F24" s="39" t="str">
        <f>IF(D24="Income",B24*C24,"")</f>
        <v/>
      </c>
      <c r="G24" s="38">
        <f>IF(D24="Expenditure",B24*C24,"")</f>
        <v>770</v>
      </c>
    </row>
    <row r="25" spans="1:7" ht="15">
      <c r="A25" s="81" t="s">
        <v>233</v>
      </c>
      <c r="B25" s="82">
        <v>95</v>
      </c>
      <c r="C25" s="83">
        <v>10</v>
      </c>
      <c r="D25" s="83" t="s">
        <v>56</v>
      </c>
      <c r="E25" s="84"/>
      <c r="F25" s="39"/>
      <c r="G25" s="38">
        <f>IF(D25="Expenditure",B25*C25,"")</f>
        <v>950</v>
      </c>
    </row>
    <row r="26" spans="1:7" ht="15">
      <c r="A26" s="85" t="s">
        <v>234</v>
      </c>
      <c r="B26" s="86">
        <v>3</v>
      </c>
      <c r="C26" s="87">
        <v>200</v>
      </c>
      <c r="D26" s="87" t="s">
        <v>56</v>
      </c>
      <c r="E26" s="88"/>
      <c r="F26" s="39" t="str">
        <f>IF(D26="Income",B26*C26,"")</f>
        <v/>
      </c>
      <c r="G26" s="38">
        <f>IF(D26="Expenditure",B26*C26,"")</f>
        <v>600</v>
      </c>
    </row>
    <row r="27" spans="1:7" ht="15">
      <c r="A27" s="81" t="s">
        <v>235</v>
      </c>
      <c r="B27" s="82">
        <v>40</v>
      </c>
      <c r="C27" s="83">
        <v>14</v>
      </c>
      <c r="D27" s="83" t="s">
        <v>56</v>
      </c>
      <c r="E27" s="84" t="s">
        <v>236</v>
      </c>
      <c r="F27" s="39" t="str">
        <f>IF(D27="Income",B27*C27,"")</f>
        <v/>
      </c>
      <c r="G27" s="38">
        <f>IF(D27="Expenditure",B27*C27,"")</f>
        <v>560</v>
      </c>
    </row>
    <row r="28" spans="1:7" ht="15">
      <c r="A28" s="85" t="s">
        <v>237</v>
      </c>
      <c r="B28" s="86">
        <v>10</v>
      </c>
      <c r="C28" s="87">
        <v>55</v>
      </c>
      <c r="D28" s="87" t="s">
        <v>56</v>
      </c>
      <c r="E28" s="88" t="s">
        <v>232</v>
      </c>
      <c r="F28" s="39" t="str">
        <f>IF(D28="Income",B28*C28,"")</f>
        <v/>
      </c>
      <c r="G28" s="38">
        <f>IF(D28="Expenditure",B28*C28,"")</f>
        <v>550</v>
      </c>
    </row>
    <row r="29" spans="1:7" ht="15">
      <c r="A29" s="81" t="s">
        <v>238</v>
      </c>
      <c r="B29" s="82">
        <v>1</v>
      </c>
      <c r="C29" s="83">
        <v>500</v>
      </c>
      <c r="D29" s="83" t="s">
        <v>56</v>
      </c>
      <c r="E29" s="84"/>
      <c r="F29" s="39" t="str">
        <f>IF(D29="Income",B29*C29,"")</f>
        <v/>
      </c>
      <c r="G29" s="38">
        <f>IF(D29="Expenditure",B29*C29,"")</f>
        <v>500</v>
      </c>
    </row>
    <row r="30" spans="1:7" ht="15">
      <c r="A30" s="85" t="s">
        <v>239</v>
      </c>
      <c r="B30" s="86">
        <v>6</v>
      </c>
      <c r="C30" s="87">
        <v>80</v>
      </c>
      <c r="D30" s="87" t="s">
        <v>56</v>
      </c>
      <c r="E30" s="88"/>
      <c r="F30" s="39" t="str">
        <f>IF(D30="Income",B30*C30,"")</f>
        <v/>
      </c>
      <c r="G30" s="38">
        <f>IF(D30="Expenditure",B30*C30,"")</f>
        <v>480</v>
      </c>
    </row>
    <row r="31" spans="1:7" ht="15">
      <c r="A31" s="81" t="s">
        <v>240</v>
      </c>
      <c r="B31" s="82">
        <v>1</v>
      </c>
      <c r="C31" s="83">
        <v>400</v>
      </c>
      <c r="D31" s="83" t="s">
        <v>56</v>
      </c>
      <c r="E31" s="84"/>
      <c r="F31" s="39" t="str">
        <f>IF(D31="Income",B31*C31,"")</f>
        <v/>
      </c>
      <c r="G31" s="38">
        <f>IF(D31="Expenditure",B31*C31,"")</f>
        <v>400</v>
      </c>
    </row>
    <row r="32" spans="1:7" ht="15">
      <c r="A32" s="85" t="s">
        <v>241</v>
      </c>
      <c r="B32" s="86">
        <v>1</v>
      </c>
      <c r="C32" s="87">
        <v>370</v>
      </c>
      <c r="D32" s="87" t="s">
        <v>56</v>
      </c>
      <c r="E32" s="88"/>
      <c r="F32" s="39" t="str">
        <f>IF(D32="Income",B32*C32,"")</f>
        <v/>
      </c>
      <c r="G32" s="38">
        <f>IF(D32="Expenditure",B32*C32,"")</f>
        <v>370</v>
      </c>
    </row>
    <row r="33" spans="1:7" ht="15">
      <c r="A33" s="81" t="s">
        <v>242</v>
      </c>
      <c r="B33" s="82">
        <v>10</v>
      </c>
      <c r="C33" s="83">
        <v>35</v>
      </c>
      <c r="D33" s="83" t="s">
        <v>56</v>
      </c>
      <c r="E33" s="84"/>
      <c r="F33" s="39" t="str">
        <f>IF(D33="Income",B33*C33,"")</f>
        <v/>
      </c>
      <c r="G33" s="38">
        <f>IF(D33="Expenditure",B33*C33,"")</f>
        <v>350</v>
      </c>
    </row>
    <row r="34" spans="1:7" ht="15">
      <c r="A34" s="85" t="s">
        <v>243</v>
      </c>
      <c r="B34" s="86">
        <v>0</v>
      </c>
      <c r="C34" s="87">
        <v>35</v>
      </c>
      <c r="D34" s="87" t="s">
        <v>56</v>
      </c>
      <c r="E34" s="88"/>
      <c r="F34" s="39" t="str">
        <f>IF(D34="Income",B34*C34,"")</f>
        <v/>
      </c>
      <c r="G34" s="38">
        <f>IF(D34="Expenditure",B34*C34,"")</f>
        <v>0</v>
      </c>
    </row>
    <row r="35" spans="1:7" ht="15">
      <c r="A35" s="81" t="s">
        <v>33</v>
      </c>
      <c r="B35" s="82">
        <v>1</v>
      </c>
      <c r="C35" s="83">
        <v>300</v>
      </c>
      <c r="D35" s="83" t="s">
        <v>56</v>
      </c>
      <c r="E35" s="84" t="s">
        <v>244</v>
      </c>
      <c r="F35" s="39" t="str">
        <f>IF(D35="Income",B35*C35,"")</f>
        <v/>
      </c>
      <c r="G35" s="38">
        <f>IF(D35="Expenditure",B35*C35,"")</f>
        <v>300</v>
      </c>
    </row>
    <row r="36" spans="1:7" ht="15">
      <c r="A36" s="81" t="s">
        <v>245</v>
      </c>
      <c r="B36" s="82">
        <v>1</v>
      </c>
      <c r="C36" s="83">
        <v>300</v>
      </c>
      <c r="D36" s="83" t="s">
        <v>56</v>
      </c>
      <c r="E36" s="84"/>
      <c r="F36" s="39" t="str">
        <f>IF(D36="Income",B36*C36,"")</f>
        <v/>
      </c>
      <c r="G36" s="38">
        <f>IF(D36="Expenditure",B36*C36,"")</f>
        <v>300</v>
      </c>
    </row>
    <row r="37" spans="1:7" ht="15">
      <c r="A37" s="85" t="s">
        <v>246</v>
      </c>
      <c r="B37" s="86">
        <v>0</v>
      </c>
      <c r="C37" s="87">
        <v>14</v>
      </c>
      <c r="D37" s="121" t="s">
        <v>56</v>
      </c>
      <c r="E37" s="88"/>
      <c r="F37" s="39" t="str">
        <f>IF(D37="Income",B37*C37,"")</f>
        <v/>
      </c>
      <c r="G37" s="38">
        <f>IF(D37="Expenditure",B37*C37,"")</f>
        <v>0</v>
      </c>
    </row>
    <row r="38" spans="1:7" ht="15">
      <c r="A38" s="85" t="s">
        <v>247</v>
      </c>
      <c r="B38" s="86">
        <v>3</v>
      </c>
      <c r="C38" s="87">
        <v>86.63</v>
      </c>
      <c r="D38" s="87" t="s">
        <v>56</v>
      </c>
      <c r="E38" s="88"/>
      <c r="F38" s="39" t="str">
        <f>IF(D38="Income",B38*C38,"")</f>
        <v/>
      </c>
      <c r="G38" s="38">
        <f>IF(D38="Expenditure",B38*C38,"")</f>
        <v>259.89</v>
      </c>
    </row>
    <row r="39" spans="1:7" ht="15">
      <c r="A39" s="81" t="s">
        <v>248</v>
      </c>
      <c r="B39" s="82">
        <v>5</v>
      </c>
      <c r="C39" s="83">
        <v>35</v>
      </c>
      <c r="D39" s="83" t="s">
        <v>56</v>
      </c>
      <c r="E39" s="84"/>
      <c r="F39" s="39" t="str">
        <f>IF(D39="Income",B39*C39,"")</f>
        <v/>
      </c>
      <c r="G39" s="38">
        <f>IF(D39="Expenditure",B39*C39,"")</f>
        <v>175</v>
      </c>
    </row>
    <row r="40" spans="1:7" ht="15">
      <c r="A40" s="85" t="s">
        <v>249</v>
      </c>
      <c r="B40" s="86">
        <v>1</v>
      </c>
      <c r="C40" s="87">
        <v>120</v>
      </c>
      <c r="D40" s="87" t="s">
        <v>56</v>
      </c>
      <c r="E40" s="88"/>
      <c r="F40" s="39" t="str">
        <f>IF(D40="Income",B40*C40,"")</f>
        <v/>
      </c>
      <c r="G40" s="38">
        <f>IF(D40="Expenditure",B40*C40,"")</f>
        <v>120</v>
      </c>
    </row>
    <row r="41" spans="1:7" ht="5.25" customHeight="1" thickBot="1">
      <c r="A41" s="26"/>
      <c r="B41" s="27"/>
      <c r="C41" s="28"/>
      <c r="D41" s="28"/>
      <c r="E41" s="29" t="s">
        <v>250</v>
      </c>
      <c r="F41" s="20"/>
      <c r="G41" s="21"/>
    </row>
    <row r="42" spans="1:7" ht="18.95" thickBot="1">
      <c r="A42" s="30"/>
      <c r="B42" s="31"/>
      <c r="C42" s="32"/>
      <c r="D42" s="32"/>
      <c r="E42" s="33" t="s">
        <v>251</v>
      </c>
      <c r="F42" s="40">
        <f>SUM(F2:F40)</f>
        <v>13327</v>
      </c>
      <c r="G42" s="41">
        <f>SUM(G2:G40)</f>
        <v>16397.89</v>
      </c>
    </row>
    <row r="43" spans="1:7" ht="15.95" thickBot="1">
      <c r="A43" s="34"/>
      <c r="B43" s="35"/>
      <c r="C43" s="36"/>
      <c r="D43" s="36"/>
      <c r="E43" s="35" t="s">
        <v>252</v>
      </c>
      <c r="F43" s="131">
        <f>(F42-G42)</f>
        <v>-3070.8899999999994</v>
      </c>
      <c r="G43" s="132"/>
    </row>
    <row r="44" spans="1:7" ht="15.95" thickBot="1">
      <c r="A44" s="34"/>
      <c r="B44" s="35"/>
      <c r="C44" s="36"/>
      <c r="D44" s="36"/>
      <c r="E44" s="35" t="s">
        <v>253</v>
      </c>
      <c r="F44" s="129">
        <v>19343.72</v>
      </c>
      <c r="G44" s="130"/>
    </row>
    <row r="45" spans="1:7" ht="15.95" thickBot="1">
      <c r="A45" s="34"/>
      <c r="B45" s="35"/>
      <c r="C45" s="36"/>
      <c r="D45" s="36"/>
      <c r="E45" s="37" t="s">
        <v>254</v>
      </c>
      <c r="F45" s="129">
        <f>SUM(F44+F43)</f>
        <v>16272.830000000002</v>
      </c>
      <c r="G45" s="130"/>
    </row>
    <row r="46" spans="1:7" ht="15"/>
  </sheetData>
  <mergeCells count="3">
    <mergeCell ref="F45:G45"/>
    <mergeCell ref="F43:G43"/>
    <mergeCell ref="F44:G44"/>
  </mergeCells>
  <conditionalFormatting sqref="F43:G43">
    <cfRule type="iconSet" priority="1">
      <iconSet iconSet="3Symbol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F4CE4AC472B4090025A1CF51A20D0" ma:contentTypeVersion="12" ma:contentTypeDescription="Create a new document." ma:contentTypeScope="" ma:versionID="250776317905b8bcf84aa82c701530de">
  <xsd:schema xmlns:xsd="http://www.w3.org/2001/XMLSchema" xmlns:xs="http://www.w3.org/2001/XMLSchema" xmlns:p="http://schemas.microsoft.com/office/2006/metadata/properties" xmlns:ns2="e3ac16bd-ba2b-4410-9ec3-8b4805eb93d4" xmlns:ns3="26ba436c-bab5-4489-927d-1f51f9820be8" targetNamespace="http://schemas.microsoft.com/office/2006/metadata/properties" ma:root="true" ma:fieldsID="abc312173e87da0bfaa174e07222dd15" ns2:_="" ns3:_="">
    <xsd:import namespace="e3ac16bd-ba2b-4410-9ec3-8b4805eb93d4"/>
    <xsd:import namespace="26ba436c-bab5-4489-927d-1f51f9820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c16bd-ba2b-4410-9ec3-8b4805eb9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a436c-bab5-4489-927d-1f51f982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ECA8D-E09B-448E-9772-0A91248D8438}"/>
</file>

<file path=customXml/itemProps2.xml><?xml version="1.0" encoding="utf-8"?>
<ds:datastoreItem xmlns:ds="http://schemas.openxmlformats.org/officeDocument/2006/customXml" ds:itemID="{633CEBB3-4D78-417C-8B98-463076167FD1}"/>
</file>

<file path=customXml/itemProps3.xml><?xml version="1.0" encoding="utf-8"?>
<ds:datastoreItem xmlns:ds="http://schemas.openxmlformats.org/officeDocument/2006/customXml" ds:itemID="{EA3C1C5E-4597-4231-94DF-48F4F4AF0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Andrew Micenko</cp:lastModifiedBy>
  <cp:revision/>
  <dcterms:created xsi:type="dcterms:W3CDTF">2006-09-16T00:00:00Z</dcterms:created>
  <dcterms:modified xsi:type="dcterms:W3CDTF">2021-03-09T12:14:29Z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0x010100B5BF4CE4AC472B4090025A1CF51A20D0</vt:lpwstr>
  </property>
  <property fmtid="{D5CDD505-2E9C-101B-9397-08002B2CF9AE}" pid="3" name="AuthorIds_UIVersion_46592">
    <vt:lpwstr>15</vt:lpwstr>
  </property>
</Properties>
</file>