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filterPrivacy="1" hidePivotFieldList="1" defaultThemeVersion="124226"/>
  <xr:revisionPtr revIDLastSave="1874" documentId="13_ncr:1_{620C3553-B77F-405D-B9AC-99F3EDC26767}" xr6:coauthVersionLast="46" xr6:coauthVersionMax="46" xr10:uidLastSave="{CE2CD6B2-29E4-4145-8944-15AEA3635A0D}"/>
  <bookViews>
    <workbookView xWindow="-110" yWindow="-110" windowWidth="38620" windowHeight="21220" firstSheet="2" activeTab="2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E19" i="2"/>
  <c r="D19" i="2"/>
  <c r="H12" i="7"/>
  <c r="E12" i="7"/>
  <c r="D12" i="7"/>
  <c r="E57" i="1"/>
  <c r="D57" i="1"/>
  <c r="E56" i="1"/>
  <c r="D56" i="1"/>
  <c r="D55" i="1"/>
  <c r="E55" i="1"/>
  <c r="E54" i="1"/>
  <c r="D54" i="1"/>
  <c r="H53" i="1"/>
  <c r="H54" i="1"/>
  <c r="H55" i="1"/>
  <c r="H56" i="1"/>
  <c r="H57" i="1"/>
  <c r="E53" i="1"/>
  <c r="D53" i="1"/>
  <c r="H18" i="2"/>
  <c r="E18" i="2"/>
  <c r="D18" i="2"/>
  <c r="H16" i="2"/>
  <c r="H17" i="2"/>
  <c r="E17" i="2"/>
  <c r="E16" i="2"/>
  <c r="D17" i="2"/>
  <c r="D16" i="2"/>
  <c r="H52" i="1"/>
  <c r="E52" i="1"/>
  <c r="D52" i="1"/>
  <c r="H11" i="7"/>
  <c r="E11" i="7"/>
  <c r="D11" i="7"/>
  <c r="E51" i="1"/>
  <c r="D51" i="1"/>
  <c r="E50" i="1"/>
  <c r="D50" i="1"/>
  <c r="H49" i="1"/>
  <c r="H50" i="1"/>
  <c r="H51" i="1"/>
  <c r="E49" i="1"/>
  <c r="D49" i="1"/>
  <c r="D48" i="1"/>
  <c r="E48" i="1"/>
  <c r="H48" i="1"/>
  <c r="H10" i="7"/>
  <c r="E10" i="7"/>
  <c r="D10" i="7"/>
  <c r="E46" i="1"/>
  <c r="D46" i="1"/>
  <c r="H46" i="1"/>
  <c r="H47" i="1"/>
  <c r="E47" i="1"/>
  <c r="D47" i="1"/>
  <c r="E15" i="2"/>
  <c r="D15" i="2"/>
  <c r="H14" i="2"/>
  <c r="H15" i="2"/>
  <c r="E14" i="2"/>
  <c r="D14" i="2"/>
  <c r="E13" i="2"/>
  <c r="D13" i="2"/>
  <c r="H13" i="2"/>
  <c r="H9" i="7"/>
  <c r="E9" i="7"/>
  <c r="D9" i="7"/>
  <c r="E45" i="1"/>
  <c r="D45" i="1"/>
  <c r="E44" i="1"/>
  <c r="D44" i="1"/>
  <c r="H42" i="1"/>
  <c r="H43" i="1"/>
  <c r="H44" i="1"/>
  <c r="H45" i="1"/>
  <c r="E42" i="1"/>
  <c r="D42" i="1"/>
  <c r="E43" i="1"/>
  <c r="D43" i="1"/>
  <c r="H41" i="1"/>
  <c r="E41" i="1"/>
  <c r="D41" i="1"/>
  <c r="F41" i="1"/>
  <c r="F12" i="2"/>
  <c r="H12" i="2"/>
  <c r="E12" i="2"/>
  <c r="D12" i="2"/>
  <c r="H11" i="2"/>
  <c r="E11" i="2"/>
  <c r="D11" i="2"/>
  <c r="H10" i="2"/>
  <c r="E10" i="2"/>
  <c r="D10" i="2"/>
  <c r="E9" i="2"/>
  <c r="H9" i="2"/>
  <c r="D9" i="2"/>
  <c r="H40" i="1"/>
  <c r="E40" i="1"/>
  <c r="D40" i="1"/>
  <c r="E39" i="1"/>
  <c r="D39" i="1"/>
  <c r="E38" i="1"/>
  <c r="D38" i="1"/>
  <c r="E37" i="1"/>
  <c r="D37" i="1"/>
  <c r="H36" i="1"/>
  <c r="H37" i="1"/>
  <c r="H38" i="1"/>
  <c r="H39" i="1"/>
  <c r="E36" i="1"/>
  <c r="D36" i="1"/>
  <c r="H8" i="7" l="1"/>
  <c r="E8" i="7"/>
  <c r="D8" i="7"/>
  <c r="H35" i="1"/>
  <c r="E35" i="1"/>
  <c r="D35" i="1"/>
  <c r="H34" i="1"/>
  <c r="E34" i="1"/>
  <c r="D34" i="1"/>
  <c r="E8" i="2" l="1"/>
  <c r="D8" i="2"/>
  <c r="H8" i="2"/>
  <c r="H7" i="2" l="1"/>
  <c r="E7" i="2"/>
  <c r="D7" i="2"/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H13" i="11"/>
  <c r="G8" i="11"/>
  <c r="H5" i="11"/>
  <c r="C9" i="11"/>
  <c r="B4" i="11"/>
  <c r="D4" i="11" s="1"/>
  <c r="F17" i="6"/>
  <c r="H17" i="11"/>
  <c r="G13" i="11"/>
  <c r="H10" i="11"/>
  <c r="G5" i="11"/>
  <c r="B9" i="11"/>
  <c r="C6" i="11"/>
  <c r="F16" i="6"/>
  <c r="G17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6" i="11"/>
  <c r="G12" i="11"/>
  <c r="H9" i="11"/>
  <c r="G4" i="11"/>
  <c r="B8" i="11"/>
  <c r="C5" i="11"/>
  <c r="I23" i="6"/>
  <c r="F21" i="6"/>
  <c r="F13" i="6"/>
  <c r="G16" i="11"/>
  <c r="H14" i="11"/>
  <c r="G9" i="11"/>
  <c r="H6" i="11"/>
  <c r="C10" i="11"/>
  <c r="B5" i="11"/>
  <c r="C2" i="11"/>
  <c r="F20" i="6"/>
  <c r="H18" i="11"/>
  <c r="G14" i="11"/>
  <c r="H11" i="11"/>
  <c r="G6" i="11"/>
  <c r="H3" i="11"/>
  <c r="I3" i="11" s="1"/>
  <c r="B10" i="11"/>
  <c r="C7" i="11"/>
  <c r="B2" i="11"/>
  <c r="F19" i="6"/>
  <c r="G18" i="11"/>
  <c r="G11" i="11"/>
  <c r="H8" i="11"/>
  <c r="B7" i="11"/>
  <c r="M1" i="11" l="1"/>
  <c r="I6" i="11"/>
  <c r="I17" i="11"/>
  <c r="I10" i="11"/>
  <c r="D9" i="11"/>
  <c r="D6" i="11"/>
  <c r="I16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8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<sst xmlns="http://schemas.openxmlformats.org/spreadsheetml/2006/main" count="380" uniqueCount="255">
  <si>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</si>
  <si>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</si>
  <si>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</si>
  <si>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</si>
  <si>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</si>
  <si>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</si>
  <si>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</si>
  <si>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</si>
  <si>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</si>
  <si>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</si>
  <si>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</si>
  <si>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</si>
  <si>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</si>
  <si>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</si>
  <si>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</si>
  <si>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</si>
  <si>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</si>
  <si>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</si>
  <si>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</si>
  <si>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</si>
  <si>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</si>
  <si>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</si>
  <si>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</si>
  <si>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</si>
  <si>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</si>
  <si>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</si>
  <si>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</si>
  <si>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</si>
  <si>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</si>
  <si>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</si>
  <si>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</si>
  <si>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</si>
  <si>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</si>
  <si>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</si>
  <si>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</si>
  <si>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</si>
  <si>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</si>
  <si>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</si>
  <si>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</si>
  <si>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</si>
  <si>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</si>
  <si>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</si>
  <si>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</si>
  <si>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</si>
  <si>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</si>
  <si>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</si>
  <si>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</si>
  <si>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</si>
  <si>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</si>
  <si>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</si>
  <si>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</si>
  <si>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</si>
  <si>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</si>
  <si>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</si>
  <si>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</si>
  <si>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</si>
  <si>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</si>
  <si>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</si>
  <si>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</si>
  <si>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</si>
  <si>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</si>
  <si>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</si>
  <si>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</si>
  <si>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</si>
  <si>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</si>
  <si>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</si>
  <si>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</si>
  <si>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</si>
  <si>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</si>
  <si>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</si>
  <si>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</si>
  <si>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</si>
  <si>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</si>
  <si>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</si>
  <si>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</si>
  <si>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</si>
  <si>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</si>
  <si>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</si>
  <si>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</si>
  <si>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</si>
  <si>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</si>
  <si>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</si>
  <si>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</si>
  <si>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</si>
  <si>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</si>
  <si>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</si>
  <si>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</si>
  <si>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</si>
  <si>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</si>
  <si>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</si>
  <si>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</si>
  <si>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</si>
  <si>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</si>
  <si>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</si>
  <si>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</si>
  <si>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</si>
  <si>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</si>
  <si>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</si>
  <si>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</si>
  <si>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</si>
  <si>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</si>
  <si>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</si>
  <si>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</si>
  <si>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</si>
  <si>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</si>
  <si>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</si>
  <si>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</si>
  <si>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</si>
  <si>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</si>
  <si>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</si>
  <si>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</si>
  <si>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B33</t>
  </si>
  <si>
    <t>B34</t>
  </si>
  <si>
    <t>B35</t>
  </si>
  <si>
    <t>B36</t>
  </si>
  <si>
    <t>October general meeting bar tab - reimburse Andrew Micenko</t>
  </si>
  <si>
    <t>B37</t>
  </si>
  <si>
    <t>Merchandise postage - reimburse Andrew Micenko</t>
  </si>
  <si>
    <t>B38</t>
  </si>
  <si>
    <t>Venue hire - 10 Perth and Tatts social memberships</t>
  </si>
  <si>
    <t>B39</t>
  </si>
  <si>
    <t>B40</t>
  </si>
  <si>
    <t>B41</t>
  </si>
  <si>
    <t>Bousfields - Life member jackets (invoice 00001898)</t>
  </si>
  <si>
    <t>B42</t>
  </si>
  <si>
    <t>Shirt - Andrew Micenko</t>
  </si>
  <si>
    <t>B43</t>
  </si>
  <si>
    <t>B-Branded - merchandise payment (invoice 52055)</t>
  </si>
  <si>
    <t>B44</t>
  </si>
  <si>
    <t>B45</t>
  </si>
  <si>
    <t>Membership fees - payment from WACA</t>
  </si>
  <si>
    <t>B46</t>
  </si>
  <si>
    <t>B47</t>
  </si>
  <si>
    <t>Sponsorship - Cortana Design</t>
  </si>
  <si>
    <t>B48</t>
  </si>
  <si>
    <t>December general meeting bar tab - reimburse Andrew Micenko</t>
  </si>
  <si>
    <t>B49</t>
  </si>
  <si>
    <t>Membership fee - Sean Ayres</t>
  </si>
  <si>
    <t>B50</t>
  </si>
  <si>
    <t>B51</t>
  </si>
  <si>
    <t>Back to base - reimburse Ahmad Khan</t>
  </si>
  <si>
    <t>B52</t>
  </si>
  <si>
    <t>B53</t>
  </si>
  <si>
    <t>January general meeting bar tab - reimburse Ashlee Gibbons</t>
  </si>
  <si>
    <t>B54</t>
  </si>
  <si>
    <t>February general meeting bar tab - reimburse Andrew Micenko</t>
  </si>
  <si>
    <t>B55</t>
  </si>
  <si>
    <t>Membership fee - life member refund to Todd Rann</t>
  </si>
  <si>
    <t>B56</t>
  </si>
  <si>
    <t>Membership fee - life member refund to Roy Boyd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</si>
  <si>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</si>
  <si>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</si>
  <si>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</si>
  <si>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</si>
  <si>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</si>
  <si>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</si>
  <si>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</si>
  <si>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</si>
  <si>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C6</t>
  </si>
  <si>
    <t>Raffle - October general meeting</t>
  </si>
  <si>
    <t>C7</t>
  </si>
  <si>
    <t>October meeting BBQ - reimburse Kirsten Funston</t>
  </si>
  <si>
    <t>C8</t>
  </si>
  <si>
    <t>November meeting BBQ - reimburse Kirsten Funston</t>
  </si>
  <si>
    <t>C9</t>
  </si>
  <si>
    <t>Raffle - November general meeting</t>
  </si>
  <si>
    <t>C10</t>
  </si>
  <si>
    <t>November general meeting bar tab</t>
  </si>
  <si>
    <t>C11</t>
  </si>
  <si>
    <t>C12</t>
  </si>
  <si>
    <t>Shirt - old PMPG logo (size S)</t>
  </si>
  <si>
    <t>C13</t>
  </si>
  <si>
    <t>Raffle - December general meeting</t>
  </si>
  <si>
    <t>C14</t>
  </si>
  <si>
    <t>December meeting BBQ - reimburse Kirsten Funston</t>
  </si>
  <si>
    <t>C15</t>
  </si>
  <si>
    <t>Raffle - January general meeting</t>
  </si>
  <si>
    <t>C16</t>
  </si>
  <si>
    <t>January meeting BBQ - reimburse Ashlee Gibbons</t>
  </si>
  <si>
    <t>C17</t>
  </si>
  <si>
    <t>February meeting BBQ - reimburse Wayne Barron</t>
  </si>
  <si>
    <t>C18</t>
  </si>
  <si>
    <t>Raffle - February general meeting</t>
  </si>
  <si>
    <t>S1</t>
  </si>
  <si>
    <t>S2</t>
  </si>
  <si>
    <t>S3</t>
  </si>
  <si>
    <t>S4</t>
  </si>
  <si>
    <t>S5</t>
  </si>
  <si>
    <t>Transfer to cheque</t>
  </si>
  <si>
    <t>S6</t>
  </si>
  <si>
    <t>S7</t>
  </si>
  <si>
    <t>S8</t>
  </si>
  <si>
    <t>S9</t>
  </si>
  <si>
    <t>S10</t>
  </si>
  <si>
    <t>S11</t>
  </si>
  <si>
    <t>Meeting expenses</t>
  </si>
  <si>
    <t>Seminar drinks</t>
  </si>
  <si>
    <t>Life members' breakfast</t>
  </si>
  <si>
    <t>November post-match social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</si>
  <si>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</si>
  <si>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</si>
  <si>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</si>
  <si>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</si>
  <si>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</si>
  <si>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</si>
  <si>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</si>
  <si>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</si>
  <si>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</si>
  <si>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Grand Final Breakfast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</si>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</sst>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164" fontId="1" fillId="2" borderId="5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115.43</c:v>
                </c:pt>
                <c:pt idx="1">
                  <c:v>590.79999999999995</c:v>
                </c:pt>
                <c:pt idx="2">
                  <c:v>0</c:v>
                </c:pt>
                <c:pt idx="3">
                  <c:v>0</c:v>
                </c:pt>
                <c:pt idx="4">
                  <c:v>5225</c:v>
                </c:pt>
                <c:pt idx="5">
                  <c:v>0</c:v>
                </c:pt>
                <c:pt idx="6">
                  <c:v>1073.1099999999999</c:v>
                </c:pt>
                <c:pt idx="7">
                  <c:v>0</c:v>
                </c:pt>
                <c:pt idx="8">
                  <c:v>180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-193.05</c:v>
                </c:pt>
                <c:pt idx="4">
                  <c:v>-110</c:v>
                </c:pt>
                <c:pt idx="5">
                  <c:v>0</c:v>
                </c:pt>
                <c:pt idx="6">
                  <c:v>-920.61</c:v>
                </c:pt>
                <c:pt idx="7">
                  <c:v>-819.88</c:v>
                </c:pt>
                <c:pt idx="8">
                  <c:v>-4289.3600000000006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Tables!$G$2:$G$18</c:f>
              <c:numCache>
                <c:formatCode>"$"#,##0.00</c:formatCode>
                <c:ptCount val="17"/>
                <c:pt idx="0">
                  <c:v>105</c:v>
                </c:pt>
                <c:pt idx="1">
                  <c:v>6225</c:v>
                </c:pt>
                <c:pt idx="2">
                  <c:v>0</c:v>
                </c:pt>
                <c:pt idx="3">
                  <c:v>56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56</c:v>
                </c:pt>
                <c:pt idx="11">
                  <c:v>49.8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4530.1400000000012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Tables!$H$2:$H$18</c:f>
              <c:numCache>
                <c:formatCode>"$"#,##0.00</c:formatCode>
                <c:ptCount val="17"/>
                <c:pt idx="0">
                  <c:v>-297.84000000000003</c:v>
                </c:pt>
                <c:pt idx="1">
                  <c:v>-610</c:v>
                </c:pt>
                <c:pt idx="2">
                  <c:v>0</c:v>
                </c:pt>
                <c:pt idx="3">
                  <c:v>-149.5</c:v>
                </c:pt>
                <c:pt idx="4">
                  <c:v>-231.5</c:v>
                </c:pt>
                <c:pt idx="5">
                  <c:v>0</c:v>
                </c:pt>
                <c:pt idx="6">
                  <c:v>0</c:v>
                </c:pt>
                <c:pt idx="7">
                  <c:v>-136</c:v>
                </c:pt>
                <c:pt idx="8">
                  <c:v>0</c:v>
                </c:pt>
                <c:pt idx="9">
                  <c:v>-36</c:v>
                </c:pt>
                <c:pt idx="10">
                  <c:v>-152.05000000000001</c:v>
                </c:pt>
                <c:pt idx="11">
                  <c:v>-254.5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Normal="100" workbookViewId="0">
      <selection activeCell="E55" sqref="E55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1351.440000000006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20695.160000000003</v>
      </c>
      <c r="K3" s="49"/>
    </row>
    <row r="4" spans="1:11">
      <c r="F4" s="49"/>
    </row>
    <row r="5" spans="1:11">
      <c r="A5" t="s">
        <v>6</v>
      </c>
      <c r="B5" s="1">
        <f>SUM('BOQ Cheque'!G:G)-B1</f>
        <v>4242.4500000000007</v>
      </c>
    </row>
    <row r="6" spans="1:11">
      <c r="A6" t="s">
        <v>7</v>
      </c>
      <c r="B6" s="1">
        <f>SUM('BOQ Savings'!G:G)-Summary!$B$2</f>
        <v>-2887.1599999999962</v>
      </c>
    </row>
    <row r="7" spans="1:11">
      <c r="A7" t="s">
        <v>8</v>
      </c>
      <c r="B7" s="1">
        <f>SUM(Cash!G:G)-Summary!B3</f>
        <v>-3.8499999999999943</v>
      </c>
    </row>
    <row r="11" spans="1:11" ht="15"/>
    <row r="12" spans="1:11" ht="15">
      <c r="A12" s="123" t="s">
        <v>9</v>
      </c>
      <c r="B12" s="124"/>
      <c r="E12" s="125" t="s">
        <v>10</v>
      </c>
      <c r="F12" s="126"/>
      <c r="H12" s="127" t="s">
        <v>11</v>
      </c>
      <c r="I12" s="128"/>
    </row>
    <row r="13" spans="1:11" ht="15">
      <c r="A13" s="15" t="s">
        <v>12</v>
      </c>
      <c r="B13" s="16">
        <f>B1+B5</f>
        <v>6175.2200000000012</v>
      </c>
      <c r="E13" s="15" t="s">
        <v>13</v>
      </c>
      <c r="F13" s="16">
        <f>SUMIF('BOQ Cheque'!D:D,$E13,'BOQ Cheque'!G:G) + SUMIF('BOQ Savings'!D:D,$E13,'BOQ Savings'!G:G) + SUMIF(Cash!D:D,$E13,Cash!G:G)</f>
        <v>115.43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 ht="15">
      <c r="A14" s="9" t="s">
        <v>15</v>
      </c>
      <c r="B14" s="11">
        <f>B3+B7</f>
        <v>104.25</v>
      </c>
      <c r="E14" s="9" t="s">
        <v>16</v>
      </c>
      <c r="F14" s="16">
        <f>SUMIF('BOQ Cheque'!D:D,$E14,'BOQ Cheque'!G:G) + SUMIF('BOQ Savings'!D:D,$E14,'BOQ Savings'!G:G) + SUMIF(Cash!D:D,$E14,Cash!G:G)</f>
        <v>590.79999999999995</v>
      </c>
      <c r="H14" s="55" t="s">
        <v>17</v>
      </c>
      <c r="I14" s="56">
        <f>SUMIF('BOQ Cheque'!E:E,$H14,'BOQ Cheque'!G:G) + SUMIF('BOQ Savings'!E:E,$H14,'BOQ Savings'!G:G) + SUMIF(Cash!E:E,$H14,Cash!G:G)</f>
        <v>5615</v>
      </c>
    </row>
    <row r="15" spans="1:11" ht="15">
      <c r="A15" s="10" t="s">
        <v>18</v>
      </c>
      <c r="B15" s="12">
        <f>B2+B6</f>
        <v>14415.690000000002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 ht="15">
      <c r="A16" s="14" t="s">
        <v>21</v>
      </c>
      <c r="B16" s="13">
        <f>F1+F2</f>
        <v>20695.160000000003</v>
      </c>
      <c r="E16" s="9" t="s">
        <v>22</v>
      </c>
      <c r="F16" s="16">
        <f>SUMIF('BOQ Cheque'!D:D,$E16,'BOQ Cheque'!G:G) + SUMIF('BOQ Savings'!D:D,$E16,'BOQ Savings'!G:G) + SUMIF(Cash!D:D,$E16,Cash!G:G)</f>
        <v>-193.05</v>
      </c>
      <c r="H16" s="55" t="s">
        <v>23</v>
      </c>
      <c r="I16" s="56">
        <f>SUMIF('BOQ Cheque'!E:E,$H16,'BOQ Cheque'!G:G) + SUMIF('BOQ Savings'!E:E,$H16,'BOQ Savings'!G:G) + SUMIF(Cash!E:E,$H16,Cash!G:G)</f>
        <v>-93.5</v>
      </c>
      <c r="K16" s="49"/>
    </row>
    <row r="17" spans="2:11" ht="15">
      <c r="B17" s="2"/>
      <c r="E17" s="9" t="s">
        <v>24</v>
      </c>
      <c r="F17" s="16">
        <f>SUMIF('BOQ Cheque'!D:D,$E17,'BOQ Cheque'!G:G) + SUMIF('BOQ Savings'!D:D,$E17,'BOQ Savings'!G:G) + SUMIF(Cash!D:D,$E17,Cash!G:G)</f>
        <v>5115</v>
      </c>
      <c r="H17" s="55" t="s">
        <v>25</v>
      </c>
      <c r="I17" s="56">
        <f>SUMIF('BOQ Cheque'!E:E,$H17,'BOQ Cheque'!G:G) + SUMIF('BOQ Savings'!E:E,$H17,'BOQ Savings'!G:G) + SUMIF(Cash!E:E,$H17,Cash!G:G)</f>
        <v>-155.5</v>
      </c>
    </row>
    <row r="18" spans="2:11" ht="15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 ht="15">
      <c r="E19" s="9" t="s">
        <v>28</v>
      </c>
      <c r="F19" s="16">
        <f>SUMIF('BOQ Cheque'!D:D,$E19,'BOQ Cheque'!G:G) + SUMIF('BOQ Savings'!D:D,$E19,'BOQ Savings'!G:G) + SUMIF(Cash!D:D,$E19,Cash!G:G)</f>
        <v>152.49999999999989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 ht="15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-46</v>
      </c>
      <c r="K20" s="1"/>
    </row>
    <row r="21" spans="2:11" ht="15">
      <c r="E21" s="9" t="s">
        <v>32</v>
      </c>
      <c r="F21" s="16">
        <f>SUMIF('BOQ Cheque'!D:D,$E21,'BOQ Cheque'!G:G) + SUMIF('BOQ Savings'!D:D,$E21,'BOQ Savings'!G:G) + SUMIF(Cash!D:D,$E21,Cash!G:G)</f>
        <v>-819.88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 ht="15">
      <c r="E22" s="9" t="s">
        <v>34</v>
      </c>
      <c r="F22" s="16">
        <f>SUMIF('BOQ Cheque'!D:D,$E22,'BOQ Cheque'!G:G) + SUMIF('BOQ Savings'!D:D,$E22,'BOQ Savings'!G:G) + SUMIF(Cash!D:D,$E22,Cash!G:G)</f>
        <v>-4109.3600000000006</v>
      </c>
      <c r="H22" s="55" t="s">
        <v>35</v>
      </c>
      <c r="I22" s="56">
        <f>SUMIF('BOQ Cheque'!E:E,$H22,'BOQ Cheque'!G:G) + SUMIF('BOQ Savings'!E:E,$H22,'BOQ Savings'!G:G) + SUMIF(Cash!E:E,$H22,Cash!G:G)</f>
        <v>-36</v>
      </c>
    </row>
    <row r="23" spans="2:11" ht="15">
      <c r="E23" s="10" t="s">
        <v>36</v>
      </c>
      <c r="F23" s="54">
        <f>SUMIF('BOQ Cheque'!D:D,$E23,'BOQ Cheque'!G:G) + SUMIF('BOQ Savings'!D:D,$E23,'BOQ Savings'!G:G) + SUMIF(Cash!D:D,$E23,Cash!G:G)</f>
        <v>1000</v>
      </c>
      <c r="H23" s="55" t="s">
        <v>37</v>
      </c>
      <c r="I23" s="56">
        <f>SUMIF('BOQ Cheque'!E:E,$H23,'BOQ Cheque'!G:G) + SUMIF('BOQ Savings'!E:E,$H23,'BOQ Savings'!G:G) + SUMIF(Cash!E:E,$H23,Cash!G:G)</f>
        <v>-96.05</v>
      </c>
      <c r="K23" s="1"/>
    </row>
    <row r="24" spans="2:11" ht="15">
      <c r="E24" s="53" t="s">
        <v>38</v>
      </c>
      <c r="F24" s="2">
        <f>SUM(F13:F23)</f>
        <v>1351.4399999999996</v>
      </c>
      <c r="H24" s="55" t="s">
        <v>39</v>
      </c>
      <c r="I24" s="56">
        <f>SUMIF('BOQ Cheque'!E:E,$H24,'BOQ Cheque'!G:G) + SUMIF('BOQ Savings'!E:E,$H24,'BOQ Savings'!G:G) + SUMIF(Cash!E:E,$H24,Cash!G:G)</f>
        <v>-204.7</v>
      </c>
      <c r="K24" s="49"/>
    </row>
    <row r="25" spans="2:11" ht="15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 ht="15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122">
        <f>SUMIF('BOQ Cheque'!E:E,$H31,'BOQ Cheque'!G:G) + SUMIF('BOQ Savings'!E:E,$H31,'BOQ Savings'!G:G) + SUMIF(Cash!E:E,$H31,Cash!G:G)</f>
        <v>-551.95000000000039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opLeftCell="A37" workbookViewId="0">
      <selection activeCell="C59" sqref="C59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6175.22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57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A34" s="7">
        <v>44125</v>
      </c>
      <c r="B34" t="s">
        <v>111</v>
      </c>
      <c r="C34" t="s">
        <v>89</v>
      </c>
      <c r="D34" t="str">
        <f>Summary!$E$19</f>
        <v>Merchandise</v>
      </c>
      <c r="E34" s="67" t="str">
        <f>Summary!$H$31</f>
        <v>None</v>
      </c>
      <c r="G34" s="1">
        <v>34.090000000000003</v>
      </c>
      <c r="H34" s="2">
        <f t="shared" si="5"/>
        <v>1882.3099999999997</v>
      </c>
      <c r="L34" s="1">
        <f t="shared" si="6"/>
        <v>34.090000000000003</v>
      </c>
      <c r="M34" s="1">
        <f t="shared" si="7"/>
        <v>0</v>
      </c>
    </row>
    <row r="35" spans="1:13">
      <c r="A35" s="7">
        <v>44135</v>
      </c>
      <c r="B35" t="s">
        <v>112</v>
      </c>
      <c r="C35" t="s">
        <v>13</v>
      </c>
      <c r="D35" t="str">
        <f>Summary!$E$13</f>
        <v>Interest</v>
      </c>
      <c r="E35" s="67" t="str">
        <f>Summary!$H$31</f>
        <v>None</v>
      </c>
      <c r="G35" s="1">
        <v>0.22</v>
      </c>
      <c r="H35" s="2">
        <f t="shared" si="5"/>
        <v>1882.5299999999997</v>
      </c>
      <c r="L35" s="1">
        <f t="shared" si="6"/>
        <v>0.22</v>
      </c>
      <c r="M35" s="1">
        <f t="shared" si="7"/>
        <v>0</v>
      </c>
    </row>
    <row r="36" spans="1:13">
      <c r="A36" s="7">
        <v>44139</v>
      </c>
      <c r="B36" t="s">
        <v>113</v>
      </c>
      <c r="C36" t="s">
        <v>89</v>
      </c>
      <c r="D36" t="str">
        <f>Summary!$E$19</f>
        <v>Merchandise</v>
      </c>
      <c r="E36" s="67" t="str">
        <f>Summary!$H$31</f>
        <v>None</v>
      </c>
      <c r="G36" s="1">
        <v>43.91</v>
      </c>
      <c r="H36" s="2">
        <f t="shared" si="5"/>
        <v>1926.4399999999998</v>
      </c>
      <c r="L36" s="1">
        <f t="shared" si="2"/>
        <v>43.91</v>
      </c>
      <c r="M36" s="1">
        <f t="shared" si="3"/>
        <v>0</v>
      </c>
    </row>
    <row r="37" spans="1:13">
      <c r="A37" s="7">
        <v>44141</v>
      </c>
      <c r="B37" t="s">
        <v>114</v>
      </c>
      <c r="C37" t="s">
        <v>115</v>
      </c>
      <c r="D37" t="str">
        <f>Summary!$E$22</f>
        <v>Social</v>
      </c>
      <c r="E37" s="47" t="str">
        <f>Summary!$H$16</f>
        <v>October general meeting</v>
      </c>
      <c r="G37" s="1">
        <v>-121.5</v>
      </c>
      <c r="H37" s="2">
        <f t="shared" si="5"/>
        <v>1804.9399999999998</v>
      </c>
      <c r="L37" s="1">
        <f t="shared" si="2"/>
        <v>0</v>
      </c>
      <c r="M37" s="1">
        <f t="shared" si="3"/>
        <v>-121.5</v>
      </c>
    </row>
    <row r="38" spans="1:13">
      <c r="A38" s="7">
        <v>44141</v>
      </c>
      <c r="B38" t="s">
        <v>116</v>
      </c>
      <c r="C38" t="s">
        <v>117</v>
      </c>
      <c r="D38" t="str">
        <f>Summary!$E$19</f>
        <v>Merchandise</v>
      </c>
      <c r="E38" s="67" t="str">
        <f>Summary!$H$31</f>
        <v>None</v>
      </c>
      <c r="G38" s="1">
        <v>-64.95</v>
      </c>
      <c r="H38" s="2">
        <f t="shared" si="5"/>
        <v>1739.9899999999998</v>
      </c>
      <c r="L38" s="1">
        <f t="shared" si="2"/>
        <v>0</v>
      </c>
      <c r="M38" s="1">
        <f t="shared" si="3"/>
        <v>-64.95</v>
      </c>
    </row>
    <row r="39" spans="1:13">
      <c r="A39" s="7">
        <v>44141</v>
      </c>
      <c r="B39" t="s">
        <v>118</v>
      </c>
      <c r="C39" t="s">
        <v>119</v>
      </c>
      <c r="D39" t="str">
        <f>Summary!$E$15</f>
        <v>Venue Hire</v>
      </c>
      <c r="E39" s="47" t="str">
        <f>Summary!$H$14</f>
        <v>Season</v>
      </c>
      <c r="G39" s="1">
        <v>-500</v>
      </c>
      <c r="H39" s="2">
        <f t="shared" si="5"/>
        <v>1239.9899999999998</v>
      </c>
      <c r="L39" s="1">
        <f t="shared" ref="L39:L43" si="8">IF(G39&gt; 0, G39, 0)</f>
        <v>0</v>
      </c>
      <c r="M39" s="1">
        <f t="shared" ref="M39:M43" si="9">IF(G39&lt;0, G39, 0)</f>
        <v>-500</v>
      </c>
    </row>
    <row r="40" spans="1:13">
      <c r="A40" s="7">
        <v>44148</v>
      </c>
      <c r="B40" t="s">
        <v>120</v>
      </c>
      <c r="C40" t="s">
        <v>89</v>
      </c>
      <c r="D40" t="str">
        <f>Summary!$E$19</f>
        <v>Merchandise</v>
      </c>
      <c r="E40" s="67" t="str">
        <f>Summary!$H$31</f>
        <v>None</v>
      </c>
      <c r="G40" s="1">
        <v>34.090000000000003</v>
      </c>
      <c r="H40" s="2">
        <f t="shared" si="5"/>
        <v>1274.0799999999997</v>
      </c>
      <c r="L40" s="1">
        <f t="shared" si="8"/>
        <v>34.090000000000003</v>
      </c>
      <c r="M40" s="1">
        <f t="shared" si="9"/>
        <v>0</v>
      </c>
    </row>
    <row r="41" spans="1:13" ht="15">
      <c r="A41" s="7">
        <v>44155</v>
      </c>
      <c r="B41" t="s">
        <v>121</v>
      </c>
      <c r="C41" s="43" t="s">
        <v>68</v>
      </c>
      <c r="D41" t="str">
        <f>Summary!$E$20</f>
        <v>Transfer</v>
      </c>
      <c r="E41" s="67" t="str">
        <f>Summary!$H$31</f>
        <v>None</v>
      </c>
      <c r="F41" t="str">
        <f>Cash!$B$12</f>
        <v>C11</v>
      </c>
      <c r="G41" s="1">
        <v>128.5</v>
      </c>
      <c r="H41" s="2">
        <f t="shared" si="5"/>
        <v>1402.5799999999997</v>
      </c>
      <c r="L41" s="1">
        <f t="shared" si="8"/>
        <v>128.5</v>
      </c>
      <c r="M41" s="1">
        <f t="shared" si="9"/>
        <v>0</v>
      </c>
    </row>
    <row r="42" spans="1:13">
      <c r="A42" s="7">
        <v>44159</v>
      </c>
      <c r="B42" t="s">
        <v>122</v>
      </c>
      <c r="C42" t="s">
        <v>123</v>
      </c>
      <c r="D42" t="str">
        <f>Summary!$E$21</f>
        <v>Miscellaneous</v>
      </c>
      <c r="E42" s="67" t="str">
        <f>Summary!$H$31</f>
        <v>None</v>
      </c>
      <c r="G42" s="1">
        <v>-560</v>
      </c>
      <c r="H42" s="2">
        <f t="shared" si="5"/>
        <v>842.5799999999997</v>
      </c>
      <c r="L42" s="1">
        <f t="shared" si="8"/>
        <v>0</v>
      </c>
      <c r="M42" s="1">
        <f t="shared" si="9"/>
        <v>-560</v>
      </c>
    </row>
    <row r="43" spans="1:13">
      <c r="A43" s="7">
        <v>44160</v>
      </c>
      <c r="B43" t="s">
        <v>124</v>
      </c>
      <c r="C43" t="s">
        <v>125</v>
      </c>
      <c r="D43" t="str">
        <f>Summary!$E$19</f>
        <v>Merchandise</v>
      </c>
      <c r="E43" s="67" t="str">
        <f>Summary!$H$31</f>
        <v>None</v>
      </c>
      <c r="G43" s="1">
        <v>35</v>
      </c>
      <c r="H43" s="2">
        <f t="shared" si="5"/>
        <v>877.5799999999997</v>
      </c>
      <c r="L43" s="1">
        <f t="shared" si="8"/>
        <v>35</v>
      </c>
      <c r="M43" s="1">
        <f t="shared" si="9"/>
        <v>0</v>
      </c>
    </row>
    <row r="44" spans="1:13">
      <c r="A44" s="7">
        <v>44161</v>
      </c>
      <c r="B44" t="s">
        <v>126</v>
      </c>
      <c r="C44" t="s">
        <v>127</v>
      </c>
      <c r="D44" t="str">
        <f>Summary!$E$19</f>
        <v>Merchandise</v>
      </c>
      <c r="E44" s="67" t="str">
        <f>Summary!$H$31</f>
        <v>None</v>
      </c>
      <c r="G44" s="1">
        <v>-209</v>
      </c>
      <c r="H44" s="2">
        <f t="shared" si="5"/>
        <v>668.5799999999997</v>
      </c>
      <c r="L44" s="1">
        <f t="shared" ref="L44:L50" si="10">IF(G44&gt; 0, G44, 0)</f>
        <v>0</v>
      </c>
      <c r="M44" s="1">
        <f t="shared" ref="M44:M50" si="11">IF(G44&lt;0, G44, 0)</f>
        <v>-209</v>
      </c>
    </row>
    <row r="45" spans="1:13">
      <c r="A45" s="7">
        <v>44165</v>
      </c>
      <c r="B45" t="s">
        <v>128</v>
      </c>
      <c r="C45" t="s">
        <v>13</v>
      </c>
      <c r="D45" t="str">
        <f>Summary!$E$13</f>
        <v>Interest</v>
      </c>
      <c r="E45" s="67" t="str">
        <f>Summary!$H$31</f>
        <v>None</v>
      </c>
      <c r="G45" s="1">
        <v>0.08</v>
      </c>
      <c r="H45" s="2">
        <f t="shared" si="5"/>
        <v>668.65999999999974</v>
      </c>
      <c r="L45" s="1">
        <f t="shared" si="10"/>
        <v>0.08</v>
      </c>
      <c r="M45" s="1">
        <f t="shared" si="11"/>
        <v>0</v>
      </c>
    </row>
    <row r="46" spans="1:13">
      <c r="A46" s="7">
        <v>44188</v>
      </c>
      <c r="B46" t="s">
        <v>129</v>
      </c>
      <c r="C46" t="s">
        <v>130</v>
      </c>
      <c r="D46" t="str">
        <f>Summary!$E$17</f>
        <v>Membership Fee</v>
      </c>
      <c r="E46" s="67" t="str">
        <f>Summary!$H$14</f>
        <v>Season</v>
      </c>
      <c r="G46" s="1">
        <v>5060</v>
      </c>
      <c r="H46" s="2">
        <f t="shared" si="5"/>
        <v>5728.66</v>
      </c>
      <c r="L46" s="1">
        <f t="shared" si="10"/>
        <v>5060</v>
      </c>
      <c r="M46" s="1">
        <f t="shared" si="11"/>
        <v>0</v>
      </c>
    </row>
    <row r="47" spans="1:13">
      <c r="A47" s="7">
        <v>44196</v>
      </c>
      <c r="B47" t="s">
        <v>131</v>
      </c>
      <c r="C47" t="s">
        <v>13</v>
      </c>
      <c r="D47" t="str">
        <f>Summary!$E$13</f>
        <v>Interest</v>
      </c>
      <c r="E47" s="67" t="str">
        <f>Summary!$H$31</f>
        <v>None</v>
      </c>
      <c r="G47" s="1">
        <v>0.08</v>
      </c>
      <c r="H47" s="2">
        <f t="shared" si="5"/>
        <v>5728.74</v>
      </c>
      <c r="L47" s="1">
        <f t="shared" si="10"/>
        <v>0.08</v>
      </c>
      <c r="M47" s="1">
        <f t="shared" si="11"/>
        <v>0</v>
      </c>
    </row>
    <row r="48" spans="1:13">
      <c r="A48" s="7">
        <v>44204</v>
      </c>
      <c r="B48" t="s">
        <v>132</v>
      </c>
      <c r="C48" t="s">
        <v>133</v>
      </c>
      <c r="D48" t="str">
        <f>Summary!$E$23</f>
        <v>Sponsorship</v>
      </c>
      <c r="E48" s="67" t="str">
        <f>Summary!$H$14</f>
        <v>Season</v>
      </c>
      <c r="G48" s="1">
        <v>1000</v>
      </c>
      <c r="H48" s="2">
        <f t="shared" si="5"/>
        <v>6728.74</v>
      </c>
      <c r="L48" s="1">
        <f t="shared" si="10"/>
        <v>1000</v>
      </c>
      <c r="M48" s="1">
        <f t="shared" si="11"/>
        <v>0</v>
      </c>
    </row>
    <row r="49" spans="1:15">
      <c r="A49" s="7">
        <v>44208</v>
      </c>
      <c r="B49" t="s">
        <v>134</v>
      </c>
      <c r="C49" t="s">
        <v>135</v>
      </c>
      <c r="D49" t="str">
        <f>Summary!$E$22</f>
        <v>Social</v>
      </c>
      <c r="E49" s="47" t="str">
        <f>Summary!$H$20</f>
        <v>December general meeting</v>
      </c>
      <c r="G49" s="1">
        <v>-136</v>
      </c>
      <c r="H49" s="2">
        <f t="shared" si="5"/>
        <v>6592.74</v>
      </c>
      <c r="L49" s="1">
        <f>IF(G49&gt; 0, G49, 0)</f>
        <v>0</v>
      </c>
      <c r="M49" s="1">
        <f>IF(G49&lt;0, G49, 0)</f>
        <v>-136</v>
      </c>
    </row>
    <row r="50" spans="1:15">
      <c r="A50" s="7">
        <v>44216</v>
      </c>
      <c r="B50" t="s">
        <v>136</v>
      </c>
      <c r="C50" t="s">
        <v>137</v>
      </c>
      <c r="D50" t="str">
        <f>Summary!$E$17</f>
        <v>Membership Fee</v>
      </c>
      <c r="E50" s="67" t="str">
        <f>Summary!$H$14</f>
        <v>Season</v>
      </c>
      <c r="G50" s="1">
        <v>55</v>
      </c>
      <c r="H50" s="2">
        <f t="shared" si="5"/>
        <v>6647.74</v>
      </c>
      <c r="L50" s="1">
        <f t="shared" si="10"/>
        <v>55</v>
      </c>
      <c r="M50" s="1">
        <f t="shared" si="11"/>
        <v>0</v>
      </c>
    </row>
    <row r="51" spans="1:15">
      <c r="A51" s="7">
        <v>44227</v>
      </c>
      <c r="B51" t="s">
        <v>138</v>
      </c>
      <c r="C51" t="s">
        <v>13</v>
      </c>
      <c r="D51" t="str">
        <f>Summary!$E$13</f>
        <v>Interest</v>
      </c>
      <c r="E51" s="67" t="str">
        <f>Summary!$H$31</f>
        <v>None</v>
      </c>
      <c r="G51" s="1">
        <v>0.72</v>
      </c>
      <c r="H51" s="2">
        <f t="shared" si="5"/>
        <v>6648.46</v>
      </c>
      <c r="L51" s="1">
        <f t="shared" ref="L51:L60" si="12">IF(G51&gt; 0, G51, 0)</f>
        <v>0.72</v>
      </c>
      <c r="M51" s="1">
        <f t="shared" ref="M51:M60" si="13">IF(G51&lt;0, G51, 0)</f>
        <v>0</v>
      </c>
    </row>
    <row r="52" spans="1:15">
      <c r="A52" s="7">
        <v>44229</v>
      </c>
      <c r="B52" t="s">
        <v>139</v>
      </c>
      <c r="C52" t="s">
        <v>140</v>
      </c>
      <c r="D52" t="str">
        <f>Summary!$E$22</f>
        <v>Social</v>
      </c>
      <c r="E52" s="47" t="str">
        <f>Summary!$H$22</f>
        <v>January post-match social</v>
      </c>
      <c r="G52" s="1">
        <v>-36</v>
      </c>
      <c r="H52" s="2">
        <f t="shared" si="5"/>
        <v>6612.46</v>
      </c>
      <c r="L52" s="1">
        <f t="shared" si="12"/>
        <v>0</v>
      </c>
      <c r="M52" s="1">
        <f t="shared" si="13"/>
        <v>-36</v>
      </c>
    </row>
    <row r="53" spans="1:15">
      <c r="A53" s="7">
        <v>44255</v>
      </c>
      <c r="B53" t="s">
        <v>141</v>
      </c>
      <c r="C53" t="s">
        <v>13</v>
      </c>
      <c r="D53" t="str">
        <f>Summary!$E$13</f>
        <v>Interest</v>
      </c>
      <c r="E53" s="67" t="str">
        <f>Summary!$H$31</f>
        <v>None</v>
      </c>
      <c r="G53" s="1">
        <v>0.76</v>
      </c>
      <c r="H53" s="2">
        <f t="shared" si="5"/>
        <v>6613.22</v>
      </c>
      <c r="L53" s="1">
        <f t="shared" si="12"/>
        <v>0.76</v>
      </c>
      <c r="M53" s="1">
        <f t="shared" si="13"/>
        <v>0</v>
      </c>
    </row>
    <row r="54" spans="1:15">
      <c r="A54" s="7">
        <v>44258</v>
      </c>
      <c r="B54" t="s">
        <v>142</v>
      </c>
      <c r="C54" t="s">
        <v>143</v>
      </c>
      <c r="D54" t="str">
        <f>Summary!$E$22</f>
        <v>Social</v>
      </c>
      <c r="E54" s="67" t="str">
        <f>Summary!$H$23</f>
        <v>January general meeting</v>
      </c>
      <c r="G54" s="1">
        <v>-122</v>
      </c>
      <c r="H54" s="2">
        <f t="shared" si="5"/>
        <v>6491.22</v>
      </c>
      <c r="L54" s="1">
        <f t="shared" si="12"/>
        <v>0</v>
      </c>
      <c r="M54" s="1">
        <f t="shared" si="13"/>
        <v>-122</v>
      </c>
    </row>
    <row r="55" spans="1:15">
      <c r="A55" s="7">
        <v>44258</v>
      </c>
      <c r="B55" t="s">
        <v>144</v>
      </c>
      <c r="C55" t="s">
        <v>145</v>
      </c>
      <c r="D55" t="str">
        <f>Summary!$E$22</f>
        <v>Social</v>
      </c>
      <c r="E55" s="47" t="str">
        <f>Summary!$H$24</f>
        <v>February general meeting</v>
      </c>
      <c r="G55" s="1">
        <v>-206</v>
      </c>
      <c r="H55" s="2">
        <f t="shared" si="5"/>
        <v>6285.22</v>
      </c>
      <c r="L55" s="1">
        <f t="shared" si="12"/>
        <v>0</v>
      </c>
      <c r="M55" s="1">
        <f t="shared" si="13"/>
        <v>-206</v>
      </c>
    </row>
    <row r="56" spans="1:15">
      <c r="A56" s="7">
        <v>44258</v>
      </c>
      <c r="B56" t="s">
        <v>146</v>
      </c>
      <c r="C56" t="s">
        <v>147</v>
      </c>
      <c r="D56" t="str">
        <f>Summary!$E$17</f>
        <v>Membership Fee</v>
      </c>
      <c r="E56" s="67" t="str">
        <f>Summary!$H$14</f>
        <v>Season</v>
      </c>
      <c r="G56" s="1">
        <v>-55</v>
      </c>
      <c r="H56" s="2">
        <f t="shared" si="5"/>
        <v>6230.22</v>
      </c>
      <c r="L56" s="1">
        <f t="shared" si="12"/>
        <v>0</v>
      </c>
      <c r="M56" s="1">
        <f t="shared" si="13"/>
        <v>-55</v>
      </c>
    </row>
    <row r="57" spans="1:15" s="51" customFormat="1" ht="15">
      <c r="A57" s="50">
        <v>44258</v>
      </c>
      <c r="B57" t="s">
        <v>148</v>
      </c>
      <c r="C57" s="51" t="s">
        <v>149</v>
      </c>
      <c r="D57" t="str">
        <f>Summary!$E$17</f>
        <v>Membership Fee</v>
      </c>
      <c r="E57" s="67" t="str">
        <f>Summary!$H$14</f>
        <v>Season</v>
      </c>
      <c r="G57" s="1">
        <v>-55</v>
      </c>
      <c r="H57" s="2">
        <f t="shared" si="5"/>
        <v>6175.22</v>
      </c>
      <c r="J57" s="52"/>
      <c r="L57" s="1">
        <f t="shared" si="12"/>
        <v>0</v>
      </c>
      <c r="M57" s="1">
        <f t="shared" si="13"/>
        <v>-55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abSelected="1" workbookViewId="0">
      <selection activeCell="G20" sqref="G20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104.25</v>
      </c>
      <c r="L1" s="49" t="s">
        <v>55</v>
      </c>
      <c r="M1" s="49" t="s">
        <v>56</v>
      </c>
    </row>
    <row r="2" spans="1:13" ht="15">
      <c r="A2" s="7">
        <v>43252</v>
      </c>
      <c r="B2" t="s">
        <v>150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151</v>
      </c>
      <c r="C3" t="s">
        <v>152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153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154</v>
      </c>
      <c r="C5" t="s">
        <v>155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156</v>
      </c>
      <c r="C6" t="s">
        <v>157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A7" s="7">
        <v>44124</v>
      </c>
      <c r="B7" t="s">
        <v>158</v>
      </c>
      <c r="C7" t="s">
        <v>159</v>
      </c>
      <c r="D7" t="str">
        <f>Summary!$E$14</f>
        <v>Raffle</v>
      </c>
      <c r="E7" s="47" t="str">
        <f>Summary!$H$16</f>
        <v>October general meeting</v>
      </c>
      <c r="G7" s="1">
        <v>56</v>
      </c>
      <c r="H7" s="45">
        <f>H6+G7</f>
        <v>269</v>
      </c>
      <c r="L7" s="49">
        <f t="shared" si="0"/>
        <v>56</v>
      </c>
      <c r="M7" s="49">
        <f t="shared" si="1"/>
        <v>0</v>
      </c>
    </row>
    <row r="8" spans="1:13">
      <c r="A8" s="7">
        <v>44124</v>
      </c>
      <c r="B8" t="s">
        <v>160</v>
      </c>
      <c r="C8" t="s">
        <v>161</v>
      </c>
      <c r="D8" t="str">
        <f>Summary!$E$16</f>
        <v>Meeting Expense</v>
      </c>
      <c r="E8" s="47" t="str">
        <f>Summary!$H$16</f>
        <v>October general meeting</v>
      </c>
      <c r="G8" s="1">
        <v>-28</v>
      </c>
      <c r="H8" s="45">
        <f>H7+G8</f>
        <v>241</v>
      </c>
      <c r="L8" s="49">
        <f t="shared" ref="L8:L14" si="2">IF(G8 &gt; 0, G8, 0)</f>
        <v>0</v>
      </c>
      <c r="M8" s="49">
        <f t="shared" ref="M8:M14" si="3">IF(G8 &lt; 0, G8, 0)</f>
        <v>-28</v>
      </c>
    </row>
    <row r="9" spans="1:13">
      <c r="A9" s="7">
        <v>44152</v>
      </c>
      <c r="B9" t="s">
        <v>162</v>
      </c>
      <c r="C9" t="s">
        <v>163</v>
      </c>
      <c r="D9" t="str">
        <f>Summary!$E$16</f>
        <v>Meeting Expense</v>
      </c>
      <c r="E9" s="47" t="str">
        <f>Summary!$H$17</f>
        <v>November general meeting</v>
      </c>
      <c r="G9" s="1">
        <v>-43.5</v>
      </c>
      <c r="H9" s="45">
        <f>H8+G9</f>
        <v>197.5</v>
      </c>
      <c r="L9" s="49">
        <f t="shared" si="2"/>
        <v>0</v>
      </c>
      <c r="M9" s="49">
        <f t="shared" si="3"/>
        <v>-43.5</v>
      </c>
    </row>
    <row r="10" spans="1:13">
      <c r="A10" s="7">
        <v>44152</v>
      </c>
      <c r="B10" t="s">
        <v>164</v>
      </c>
      <c r="C10" t="s">
        <v>165</v>
      </c>
      <c r="D10" t="str">
        <f>Summary!$E$14</f>
        <v>Raffle</v>
      </c>
      <c r="E10" s="47" t="str">
        <f>Summary!$H$17</f>
        <v>November general meeting</v>
      </c>
      <c r="G10" s="1">
        <v>76</v>
      </c>
      <c r="H10" s="45">
        <f>H9+G10</f>
        <v>273.5</v>
      </c>
      <c r="L10" s="49">
        <f t="shared" si="2"/>
        <v>76</v>
      </c>
      <c r="M10" s="49">
        <f t="shared" si="3"/>
        <v>0</v>
      </c>
    </row>
    <row r="11" spans="1:13">
      <c r="A11" s="7">
        <v>44152</v>
      </c>
      <c r="B11" t="s">
        <v>166</v>
      </c>
      <c r="C11" s="1" t="s">
        <v>167</v>
      </c>
      <c r="D11" t="str">
        <f>Summary!$E$22</f>
        <v>Social</v>
      </c>
      <c r="E11" s="47" t="str">
        <f>Summary!$H$17</f>
        <v>November general meeting</v>
      </c>
      <c r="G11" s="1">
        <v>-145</v>
      </c>
      <c r="H11" s="45">
        <f>H10+G11</f>
        <v>128.5</v>
      </c>
      <c r="L11" s="49">
        <f t="shared" si="2"/>
        <v>0</v>
      </c>
      <c r="M11" s="49">
        <f t="shared" si="3"/>
        <v>-145</v>
      </c>
    </row>
    <row r="12" spans="1:13">
      <c r="A12" s="7">
        <v>44155</v>
      </c>
      <c r="B12" t="s">
        <v>168</v>
      </c>
      <c r="C12" t="s">
        <v>68</v>
      </c>
      <c r="D12" t="str">
        <f>Summary!$E$20</f>
        <v>Transfer</v>
      </c>
      <c r="E12" s="67" t="str">
        <f>Summary!$H$31</f>
        <v>None</v>
      </c>
      <c r="F12" t="str">
        <f>'BOQ Cheque'!$B$41</f>
        <v>B40</v>
      </c>
      <c r="G12" s="1">
        <v>-128.5</v>
      </c>
      <c r="H12" s="45">
        <f>H11+G12</f>
        <v>0</v>
      </c>
      <c r="L12" s="49">
        <f t="shared" si="2"/>
        <v>0</v>
      </c>
      <c r="M12" s="49">
        <f t="shared" si="3"/>
        <v>-128.5</v>
      </c>
    </row>
    <row r="13" spans="1:13">
      <c r="A13" s="7">
        <v>44180</v>
      </c>
      <c r="B13" t="s">
        <v>169</v>
      </c>
      <c r="C13" t="s">
        <v>170</v>
      </c>
      <c r="D13" t="str">
        <f>Summary!$E$19</f>
        <v>Merchandise</v>
      </c>
      <c r="E13" s="67" t="str">
        <f>Summary!$H$31</f>
        <v>None</v>
      </c>
      <c r="G13" s="1">
        <v>30</v>
      </c>
      <c r="H13" s="45">
        <f>H12+G13</f>
        <v>30</v>
      </c>
      <c r="L13" s="49">
        <f t="shared" si="2"/>
        <v>30</v>
      </c>
      <c r="M13" s="49">
        <f t="shared" si="3"/>
        <v>0</v>
      </c>
    </row>
    <row r="14" spans="1:13">
      <c r="A14" s="7">
        <v>44180</v>
      </c>
      <c r="B14" t="s">
        <v>171</v>
      </c>
      <c r="C14" t="s">
        <v>172</v>
      </c>
      <c r="D14" t="str">
        <f>Summary!$E$14</f>
        <v>Raffle</v>
      </c>
      <c r="E14" s="47" t="str">
        <f>Summary!$H$20</f>
        <v>December general meeting</v>
      </c>
      <c r="G14" s="1">
        <v>90</v>
      </c>
      <c r="H14" s="45">
        <f t="shared" ref="H14:H19" si="4">H13+G14</f>
        <v>120</v>
      </c>
      <c r="L14" s="49">
        <f t="shared" si="2"/>
        <v>90</v>
      </c>
      <c r="M14" s="49">
        <f t="shared" si="3"/>
        <v>0</v>
      </c>
    </row>
    <row r="15" spans="1:13">
      <c r="A15" s="7">
        <v>44180</v>
      </c>
      <c r="B15" t="s">
        <v>173</v>
      </c>
      <c r="C15" t="s">
        <v>174</v>
      </c>
      <c r="D15" t="str">
        <f>Summary!$E$16</f>
        <v>Meeting Expense</v>
      </c>
      <c r="E15" s="47" t="str">
        <f>Summary!$H$17</f>
        <v>November general meeting</v>
      </c>
      <c r="G15" s="1">
        <v>-43</v>
      </c>
      <c r="H15" s="45">
        <f t="shared" si="4"/>
        <v>77</v>
      </c>
      <c r="L15" s="49">
        <f t="shared" ref="L15" si="5">IF(G15 &gt; 0, G15, 0)</f>
        <v>0</v>
      </c>
      <c r="M15" s="49">
        <f t="shared" ref="M15" si="6">IF(G15 &lt; 0, G15, 0)</f>
        <v>-43</v>
      </c>
    </row>
    <row r="16" spans="1:13">
      <c r="A16" s="7">
        <v>44215</v>
      </c>
      <c r="B16" t="s">
        <v>175</v>
      </c>
      <c r="C16" t="s">
        <v>176</v>
      </c>
      <c r="D16" t="str">
        <f>Summary!$E$14</f>
        <v>Raffle</v>
      </c>
      <c r="E16" s="47" t="str">
        <f>Summary!$H$23</f>
        <v>January general meeting</v>
      </c>
      <c r="G16" s="1">
        <v>56</v>
      </c>
      <c r="H16" s="45">
        <f t="shared" si="4"/>
        <v>133</v>
      </c>
      <c r="L16" s="49">
        <f t="shared" ref="L16:L19" si="7">IF(G16 &gt; 0, G16, 0)</f>
        <v>56</v>
      </c>
      <c r="M16" s="49">
        <f t="shared" ref="M16:M19" si="8">IF(G16 &lt; 0, G16, 0)</f>
        <v>0</v>
      </c>
    </row>
    <row r="17" spans="1:13">
      <c r="A17" s="7">
        <v>44215</v>
      </c>
      <c r="B17" t="s">
        <v>177</v>
      </c>
      <c r="C17" t="s">
        <v>178</v>
      </c>
      <c r="D17" t="str">
        <f>Summary!$E$16</f>
        <v>Meeting Expense</v>
      </c>
      <c r="E17" s="47" t="str">
        <f>Summary!$H$23</f>
        <v>January general meeting</v>
      </c>
      <c r="G17" s="1">
        <v>-30.05</v>
      </c>
      <c r="H17" s="45">
        <f t="shared" si="4"/>
        <v>102.95</v>
      </c>
      <c r="L17" s="49">
        <f t="shared" si="7"/>
        <v>0</v>
      </c>
      <c r="M17" s="49">
        <f t="shared" si="8"/>
        <v>-30.05</v>
      </c>
    </row>
    <row r="18" spans="1:13">
      <c r="A18" s="7">
        <v>44243</v>
      </c>
      <c r="B18" t="s">
        <v>179</v>
      </c>
      <c r="C18" t="s">
        <v>180</v>
      </c>
      <c r="D18" t="str">
        <f>Summary!$E$16</f>
        <v>Meeting Expense</v>
      </c>
      <c r="E18" s="47" t="str">
        <f>Summary!$H$24</f>
        <v>February general meeting</v>
      </c>
      <c r="G18" s="1">
        <v>-48.5</v>
      </c>
      <c r="H18" s="45">
        <f t="shared" si="4"/>
        <v>54.45</v>
      </c>
      <c r="L18" s="49">
        <f t="shared" si="7"/>
        <v>0</v>
      </c>
      <c r="M18" s="49">
        <f t="shared" si="8"/>
        <v>-48.5</v>
      </c>
    </row>
    <row r="19" spans="1:13">
      <c r="A19" s="7">
        <v>44243</v>
      </c>
      <c r="B19" t="s">
        <v>181</v>
      </c>
      <c r="C19" t="s">
        <v>182</v>
      </c>
      <c r="D19" t="str">
        <f>Summary!$E$14</f>
        <v>Raffle</v>
      </c>
      <c r="E19" s="47" t="str">
        <f>Summary!$H$24</f>
        <v>February general meeting</v>
      </c>
      <c r="G19" s="1">
        <v>49.8</v>
      </c>
      <c r="H19" s="45">
        <f t="shared" si="4"/>
        <v>104.25</v>
      </c>
      <c r="L19" s="49">
        <f t="shared" si="7"/>
        <v>49.8</v>
      </c>
      <c r="M19" s="49">
        <f t="shared" si="8"/>
        <v>0</v>
      </c>
    </row>
    <row r="20" spans="1:13">
      <c r="H20" s="45"/>
      <c r="L20" s="49">
        <f t="shared" ref="L20:L21" si="9">IF(G20 &gt; 0, G20, 0)</f>
        <v>0</v>
      </c>
      <c r="M20" s="49">
        <f t="shared" ref="M20:M21" si="10">IF(G20 &lt; 0, G20, 0)</f>
        <v>0</v>
      </c>
    </row>
    <row r="21" spans="1:13">
      <c r="E21" s="69"/>
      <c r="H21" s="45"/>
      <c r="L21" s="49">
        <f t="shared" si="9"/>
        <v>0</v>
      </c>
      <c r="M21" s="49">
        <f t="shared" si="10"/>
        <v>0</v>
      </c>
    </row>
    <row r="22" spans="1:13">
      <c r="H22" s="45"/>
      <c r="L22" s="49">
        <f t="shared" ref="L22" si="11">IF(G22 &gt; 0, G22, 0)</f>
        <v>0</v>
      </c>
      <c r="M22" s="49">
        <f t="shared" ref="M22" si="12">IF(G22 &lt; 0, G22, 0)</f>
        <v>0</v>
      </c>
    </row>
    <row r="23" spans="1:13">
      <c r="H23" s="45"/>
      <c r="L23" s="49">
        <f t="shared" ref="L23:L25" si="13">IF(G23 &gt; 0, G23, 0)</f>
        <v>0</v>
      </c>
      <c r="M23" s="49">
        <f t="shared" ref="M23:M25" si="14">IF(G23 &lt; 0, G23, 0)</f>
        <v>0</v>
      </c>
    </row>
    <row r="24" spans="1:13">
      <c r="H24" s="45"/>
      <c r="L24" s="49">
        <f t="shared" si="13"/>
        <v>0</v>
      </c>
      <c r="M24" s="49">
        <f t="shared" si="14"/>
        <v>0</v>
      </c>
    </row>
    <row r="25" spans="1:13">
      <c r="H25" s="45"/>
      <c r="L25" s="49">
        <f t="shared" si="13"/>
        <v>0</v>
      </c>
      <c r="M25" s="49">
        <f t="shared" si="14"/>
        <v>0</v>
      </c>
    </row>
    <row r="26" spans="1:13">
      <c r="H26" s="45"/>
      <c r="L26" s="49">
        <f t="shared" ref="L26" si="15">IF(G26 &gt; 0, G26, 0)</f>
        <v>0</v>
      </c>
      <c r="M26" s="49">
        <f t="shared" ref="M26" si="16">IF(G26 &lt; 0, G26, 0)</f>
        <v>0</v>
      </c>
    </row>
    <row r="27" spans="1:13">
      <c r="H27" s="45"/>
      <c r="L27" s="49">
        <f t="shared" ref="L27:L29" si="17">IF(G27 &gt; 0, G27, 0)</f>
        <v>0</v>
      </c>
      <c r="M27" s="49">
        <f t="shared" ref="M27:M29" si="18">IF(G27 &lt; 0, G27, 0)</f>
        <v>0</v>
      </c>
    </row>
    <row r="28" spans="1:13">
      <c r="H28" s="45"/>
      <c r="L28" s="49">
        <f t="shared" si="17"/>
        <v>0</v>
      </c>
      <c r="M28" s="49">
        <f t="shared" si="18"/>
        <v>0</v>
      </c>
    </row>
    <row r="29" spans="1:13">
      <c r="H29" s="45"/>
      <c r="L29" s="49">
        <f t="shared" si="17"/>
        <v>0</v>
      </c>
      <c r="M29" s="49">
        <f t="shared" si="18"/>
        <v>0</v>
      </c>
    </row>
    <row r="30" spans="1:13">
      <c r="H30" s="45"/>
      <c r="L30" s="49">
        <f t="shared" ref="L30" si="19">IF(G30 &gt; 0, G30, 0)</f>
        <v>0</v>
      </c>
      <c r="M30" s="49">
        <f t="shared" ref="M30" si="20">IF(G30 &lt; 0, G30, 0)</f>
        <v>0</v>
      </c>
    </row>
    <row r="31" spans="1:13">
      <c r="H31" s="45"/>
      <c r="L31" s="49">
        <f t="shared" ref="L31:L32" si="21">IF(G31 &gt; 0, G31, 0)</f>
        <v>0</v>
      </c>
      <c r="M31" s="49">
        <f t="shared" ref="M31:M32" si="22">IF(G31 &lt; 0, G31, 0)</f>
        <v>0</v>
      </c>
    </row>
    <row r="32" spans="1:13">
      <c r="H32" s="45"/>
      <c r="L32" s="49">
        <f t="shared" si="21"/>
        <v>0</v>
      </c>
      <c r="M32" s="49">
        <f t="shared" si="22"/>
        <v>0</v>
      </c>
    </row>
    <row r="33" spans="3:13">
      <c r="H33" s="45"/>
      <c r="L33" s="49">
        <f t="shared" ref="L33" si="23">IF(G33 &gt; 0, G33, 0)</f>
        <v>0</v>
      </c>
      <c r="M33" s="49">
        <f t="shared" ref="M33" si="24">IF(G33 &lt; 0, G33, 0)</f>
        <v>0</v>
      </c>
    </row>
    <row r="34" spans="3:13">
      <c r="H34" s="45"/>
      <c r="L34" s="49">
        <f t="shared" ref="L34" si="25">IF(G34 &gt; 0, G34, 0)</f>
        <v>0</v>
      </c>
      <c r="M34" s="49">
        <f t="shared" ref="M34" si="26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H6" sqref="A6:H6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14415.690000000002</v>
      </c>
      <c r="L1" t="s">
        <v>55</v>
      </c>
      <c r="M1" t="s">
        <v>56</v>
      </c>
    </row>
    <row r="2" spans="1:13">
      <c r="A2" s="7">
        <v>43252</v>
      </c>
      <c r="B2" t="s">
        <v>183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184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185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186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187</v>
      </c>
      <c r="C6" t="s">
        <v>188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12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189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A8" s="7">
        <v>44135</v>
      </c>
      <c r="B8" t="s">
        <v>190</v>
      </c>
      <c r="C8" t="s">
        <v>13</v>
      </c>
      <c r="D8" t="str">
        <f>Summary!$E$13</f>
        <v>Interest</v>
      </c>
      <c r="E8" s="67" t="str">
        <f>Summary!$H$31</f>
        <v>None</v>
      </c>
      <c r="G8" s="1">
        <v>11</v>
      </c>
      <c r="H8" s="2">
        <f t="shared" si="4"/>
        <v>14382.900000000001</v>
      </c>
      <c r="L8">
        <f t="shared" ref="L8" si="9">IF(G8&gt;0,G8,0)</f>
        <v>11</v>
      </c>
      <c r="M8">
        <f t="shared" ref="M8" si="10">IF(G8 &lt; 0, G8, 0)</f>
        <v>0</v>
      </c>
    </row>
    <row r="9" spans="1:13">
      <c r="A9" s="7">
        <v>44165</v>
      </c>
      <c r="B9" t="s">
        <v>191</v>
      </c>
      <c r="C9" t="s">
        <v>13</v>
      </c>
      <c r="D9" t="str">
        <f>Summary!$E$13</f>
        <v>Interest</v>
      </c>
      <c r="E9" s="67" t="str">
        <f>Summary!$H$31</f>
        <v>None</v>
      </c>
      <c r="G9" s="1">
        <v>9.73</v>
      </c>
      <c r="H9" s="2">
        <f t="shared" si="4"/>
        <v>14392.630000000001</v>
      </c>
      <c r="L9">
        <f t="shared" ref="L9" si="11">IF(G9&gt;0,G9,0)</f>
        <v>9.73</v>
      </c>
      <c r="M9">
        <f t="shared" ref="M9" si="12">IF(G9 &lt; 0, G9, 0)</f>
        <v>0</v>
      </c>
    </row>
    <row r="10" spans="1:13">
      <c r="A10" s="7">
        <v>44196</v>
      </c>
      <c r="B10" t="s">
        <v>192</v>
      </c>
      <c r="C10" t="s">
        <v>13</v>
      </c>
      <c r="D10" t="str">
        <f>Summary!$E$13</f>
        <v>Interest</v>
      </c>
      <c r="E10" s="67" t="str">
        <f>Summary!$H$31</f>
        <v>None</v>
      </c>
      <c r="G10" s="1">
        <v>7.94</v>
      </c>
      <c r="H10" s="2">
        <f t="shared" si="4"/>
        <v>14400.570000000002</v>
      </c>
      <c r="L10">
        <f t="shared" ref="L10" si="13">IF(G10&gt;0,G10,0)</f>
        <v>7.94</v>
      </c>
      <c r="M10">
        <f t="shared" ref="M10" si="14">IF(G10 &lt; 0, G10, 0)</f>
        <v>0</v>
      </c>
    </row>
    <row r="11" spans="1:13">
      <c r="A11" s="7">
        <v>44227</v>
      </c>
      <c r="B11" t="s">
        <v>193</v>
      </c>
      <c r="C11" t="s">
        <v>13</v>
      </c>
      <c r="D11" t="str">
        <f>Summary!$E$13</f>
        <v>Interest</v>
      </c>
      <c r="E11" s="67" t="str">
        <f>Summary!$H$31</f>
        <v>None</v>
      </c>
      <c r="G11" s="1">
        <v>7.94</v>
      </c>
      <c r="H11" s="2">
        <f t="shared" si="4"/>
        <v>14408.510000000002</v>
      </c>
      <c r="L11">
        <f t="shared" ref="L11" si="15">IF(G11&gt;0,G11,0)</f>
        <v>7.94</v>
      </c>
      <c r="M11">
        <f t="shared" ref="M11" si="16">IF(G11 &lt; 0, G11, 0)</f>
        <v>0</v>
      </c>
    </row>
    <row r="12" spans="1:13">
      <c r="A12" s="7">
        <v>44255</v>
      </c>
      <c r="B12" t="s">
        <v>194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7.18</v>
      </c>
      <c r="H12" s="2">
        <f t="shared" si="4"/>
        <v>14415.690000000002</v>
      </c>
      <c r="L12">
        <f t="shared" ref="L12" si="17">IF(G12&gt;0,G12,0)</f>
        <v>7.18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F16" sqref="F1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4" width="10" bestFit="1" customWidth="1"/>
    <col min="5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195</v>
      </c>
      <c r="M1" s="48">
        <f>H5+H6+H9+H12+H13+H17</f>
        <v>-923.55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115.43</v>
      </c>
      <c r="C2" s="49">
        <f>SUMIF('BOQ Cheque'!D:D,$A2,'BOQ Cheque'!M:M) + SUMIF('BOQ Savings'!D:D,$A2,'BOQ Savings'!M:M) + SUMIF(Cash!D:D,$A2,Cash!M:M)</f>
        <v>0</v>
      </c>
      <c r="D2" s="49">
        <f>B2+C2</f>
        <v>115.43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590.79999999999995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590.79999999999995</v>
      </c>
      <c r="F3" s="55" t="s">
        <v>17</v>
      </c>
      <c r="G3" s="49">
        <f>SUMIF('BOQ Cheque'!E:E,$F3,'BOQ Cheque'!L:L) + SUMIF('BOQ Savings'!E:E,$F3,'BOQ Savings'!L:L) + SUMIF(Cash!E:E,$F3,Cash!L:L)</f>
        <v>6225</v>
      </c>
      <c r="H3" s="49">
        <f>SUMIF('BOQ Cheque'!E:E,$F3,'BOQ Cheque'!M:M) + SUMIF('BOQ Savings'!E:E,$F3,'BOQ Savings'!M:M) + SUMIF(Cash!E:E,$F3,Cash!M:M)</f>
        <v>-610</v>
      </c>
      <c r="I3" s="49">
        <f t="shared" ref="I3:I15" si="1">G3+H3</f>
        <v>5615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-500</v>
      </c>
      <c r="D4" s="49">
        <f t="shared" si="0"/>
        <v>-500</v>
      </c>
      <c r="F4" s="55" t="s">
        <v>196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-193.05</v>
      </c>
      <c r="D5" s="49">
        <f t="shared" si="0"/>
        <v>-193.05</v>
      </c>
      <c r="F5" s="55" t="s">
        <v>23</v>
      </c>
      <c r="G5" s="49">
        <f>SUMIF('BOQ Cheque'!E:E,$F5,'BOQ Cheque'!L:L) + SUMIF('BOQ Savings'!E:E,$F5,'BOQ Savings'!L:L) + SUMIF(Cash!E:E,$F5,Cash!L:L)</f>
        <v>56</v>
      </c>
      <c r="H5" s="49">
        <f>SUMIF('BOQ Cheque'!E:E,$F5,'BOQ Cheque'!M:M) + SUMIF('BOQ Savings'!E:E,$F5,'BOQ Savings'!M:M) + SUMIF(Cash!E:E,$F5,Cash!M:M)</f>
        <v>-149.5</v>
      </c>
      <c r="I5" s="49">
        <f t="shared" si="1"/>
        <v>-93.5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5225</v>
      </c>
      <c r="C6" s="49">
        <f>SUMIF('BOQ Cheque'!D:D,$A6,'BOQ Cheque'!M:M) + SUMIF('BOQ Savings'!D:D,$A6,'BOQ Savings'!M:M) + SUMIF(Cash!D:D,$A6,Cash!M:M)</f>
        <v>-110</v>
      </c>
      <c r="D6" s="49">
        <f t="shared" si="0"/>
        <v>5115</v>
      </c>
      <c r="F6" s="55" t="s">
        <v>25</v>
      </c>
      <c r="G6" s="49">
        <f>SUMIF('BOQ Cheque'!E:E,$F6,'BOQ Cheque'!L:L) + SUMIF('BOQ Savings'!E:E,$F6,'BOQ Savings'!L:L) + SUMIF(Cash!E:E,$F6,Cash!L:L)</f>
        <v>76</v>
      </c>
      <c r="H6" s="49">
        <f>SUMIF('BOQ Cheque'!E:E,$F6,'BOQ Cheque'!M:M) + SUMIF('BOQ Savings'!E:E,$F6,'BOQ Savings'!M:M) + SUMIF(Cash!E:E,$F6,Cash!M:M)</f>
        <v>-231.5</v>
      </c>
      <c r="I6" s="49">
        <f t="shared" si="1"/>
        <v>-155.5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197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1073.1099999999999</v>
      </c>
      <c r="C8" s="49">
        <f>SUMIF('BOQ Cheque'!D:D,$A8,'BOQ Cheque'!M:M) + SUMIF('BOQ Savings'!D:D,$A8,'BOQ Savings'!M:M) + SUMIF(Cash!D:D,$A8,Cash!M:M)</f>
        <v>-920.61</v>
      </c>
      <c r="D8" s="49">
        <f t="shared" si="0"/>
        <v>152.49999999999989</v>
      </c>
      <c r="F8" s="55" t="s">
        <v>198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-819.88</v>
      </c>
      <c r="D9" s="49">
        <f t="shared" si="0"/>
        <v>-819.88</v>
      </c>
      <c r="F9" s="55" t="s">
        <v>31</v>
      </c>
      <c r="G9" s="49">
        <f>SUMIF('BOQ Cheque'!E:E,$F9,'BOQ Cheque'!L:L) + SUMIF('BOQ Savings'!E:E,$F9,'BOQ Savings'!L:L) + SUMIF(Cash!E:E,$F9,Cash!L:L)</f>
        <v>90</v>
      </c>
      <c r="H9" s="49">
        <f>SUMIF('BOQ Cheque'!E:E,$F9,'BOQ Cheque'!M:M) + SUMIF('BOQ Savings'!E:E,$F9,'BOQ Savings'!M:M) + SUMIF(Cash!E:E,$F9,Cash!M:M)</f>
        <v>-136</v>
      </c>
      <c r="I9" s="49">
        <f t="shared" si="1"/>
        <v>-46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-4289.3600000000006</v>
      </c>
      <c r="D10" s="49">
        <f t="shared" si="0"/>
        <v>-4109.3600000000006</v>
      </c>
      <c r="F10" s="55" t="s">
        <v>33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1000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1000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-36</v>
      </c>
      <c r="I11" s="49">
        <f t="shared" si="1"/>
        <v>-36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56</v>
      </c>
      <c r="H12" s="49">
        <f>SUMIF('BOQ Cheque'!E:E,$F12,'BOQ Cheque'!M:M) + SUMIF('BOQ Savings'!E:E,$F12,'BOQ Savings'!M:M) + SUMIF(Cash!E:E,$F12,Cash!M:M)</f>
        <v>-152.05000000000001</v>
      </c>
      <c r="I12" s="49">
        <f t="shared" si="1"/>
        <v>-96.050000000000011</v>
      </c>
    </row>
    <row r="13" spans="1:21">
      <c r="B13" s="66">
        <f>SUM(B2:B11)</f>
        <v>8184.3399999999992</v>
      </c>
      <c r="C13" s="66">
        <f>SUM(C2:C11)</f>
        <v>-6832.9000000000005</v>
      </c>
      <c r="D13" s="66">
        <f>SUM(D2:D11)</f>
        <v>1351.4399999999996</v>
      </c>
      <c r="F13" s="55" t="s">
        <v>39</v>
      </c>
      <c r="G13" s="49">
        <f>SUMIF('BOQ Cheque'!E:E,$F13,'BOQ Cheque'!L:L) + SUMIF('BOQ Savings'!E:E,$F13,'BOQ Savings'!L:L) + SUMIF(Cash!E:E,$F13,Cash!L:L)</f>
        <v>49.8</v>
      </c>
      <c r="H13" s="49">
        <f>SUMIF('BOQ Cheque'!E:E,$F13,'BOQ Cheque'!M:M) + SUMIF('BOQ Savings'!E:E,$F13,'BOQ Savings'!M:M) + SUMIF(Cash!E:E,$F13,Cash!M:M)</f>
        <v>-254.5</v>
      </c>
      <c r="I13" s="49">
        <f t="shared" si="1"/>
        <v>-204.7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 ht="15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 ht="15">
      <c r="F16" s="62" t="s">
        <v>43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>G16+H16</f>
        <v>0</v>
      </c>
    </row>
    <row r="17" spans="6:9" ht="15">
      <c r="F17" s="65" t="s">
        <v>199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>G17+H17</f>
        <v>0</v>
      </c>
    </row>
    <row r="18" spans="6:9" ht="15">
      <c r="F18" s="63" t="s">
        <v>46</v>
      </c>
      <c r="G18" s="49">
        <f>SUMIF('BOQ Cheque'!E:E,$F18,'BOQ Cheque'!L:L) + SUMIF('BOQ Savings'!E:E,$F18,'BOQ Savings'!L:L) + SUMIF(Cash!E:E,$F18,Cash!L:L)</f>
        <v>4530.1400000000012</v>
      </c>
      <c r="H18" s="49">
        <f>SUMIF('BOQ Cheque'!E:E,$F18,'BOQ Cheque'!M:M) + SUMIF('BOQ Savings'!E:E,$F18,'BOQ Savings'!M:M) + SUMIF(Cash!E:E,$F18,Cash!M:M)</f>
        <v>-5082.09</v>
      </c>
      <c r="I18" s="49">
        <f>G18+H18</f>
        <v>-551.94999999999891</v>
      </c>
    </row>
    <row r="19" spans="6:9" ht="15"/>
    <row r="20" spans="6:9" ht="15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workbookViewId="0">
      <selection activeCell="D19" sqref="D19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200</v>
      </c>
      <c r="B1" s="23" t="s">
        <v>201</v>
      </c>
      <c r="C1" s="24" t="s">
        <v>202</v>
      </c>
      <c r="D1" s="24" t="s">
        <v>203</v>
      </c>
      <c r="E1" s="25" t="s">
        <v>204</v>
      </c>
      <c r="F1" s="18" t="s">
        <v>205</v>
      </c>
      <c r="G1" s="19" t="s">
        <v>56</v>
      </c>
    </row>
    <row r="2" spans="1:7" ht="15">
      <c r="A2" s="81" t="s">
        <v>206</v>
      </c>
      <c r="B2" s="82">
        <v>85</v>
      </c>
      <c r="C2" s="83">
        <v>55</v>
      </c>
      <c r="D2" s="83" t="s">
        <v>205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207</v>
      </c>
      <c r="B3" s="95">
        <v>50</v>
      </c>
      <c r="C3" s="96">
        <v>50</v>
      </c>
      <c r="D3" s="96" t="s">
        <v>205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208</v>
      </c>
      <c r="B4" s="89">
        <v>1</v>
      </c>
      <c r="C4" s="90">
        <v>1500</v>
      </c>
      <c r="D4" s="98" t="s">
        <v>205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209</v>
      </c>
      <c r="B5" s="114">
        <v>1</v>
      </c>
      <c r="C5" s="115">
        <v>1000</v>
      </c>
      <c r="D5" s="92" t="s">
        <v>205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210</v>
      </c>
      <c r="B6" s="116">
        <v>7</v>
      </c>
      <c r="C6" s="117">
        <v>100</v>
      </c>
      <c r="D6" s="118" t="s">
        <v>205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211</v>
      </c>
      <c r="B7" s="86">
        <v>20</v>
      </c>
      <c r="C7" s="87">
        <v>35</v>
      </c>
      <c r="D7" s="87" t="s">
        <v>205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212</v>
      </c>
      <c r="B8" s="82">
        <v>20</v>
      </c>
      <c r="C8" s="83">
        <v>25</v>
      </c>
      <c r="D8" s="83" t="s">
        <v>205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213</v>
      </c>
      <c r="B9" s="86">
        <v>10</v>
      </c>
      <c r="C9" s="87">
        <v>50</v>
      </c>
      <c r="D9" s="87" t="s">
        <v>205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214</v>
      </c>
      <c r="B10" s="82">
        <v>15</v>
      </c>
      <c r="C10" s="83">
        <v>30</v>
      </c>
      <c r="D10" s="83" t="s">
        <v>205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215</v>
      </c>
      <c r="B11" s="86">
        <v>0</v>
      </c>
      <c r="C11" s="87">
        <v>15</v>
      </c>
      <c r="D11" s="87" t="s">
        <v>205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216</v>
      </c>
      <c r="B12" s="82">
        <v>8</v>
      </c>
      <c r="C12" s="83">
        <v>35</v>
      </c>
      <c r="D12" s="83" t="s">
        <v>205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217</v>
      </c>
      <c r="B13" s="86">
        <v>5</v>
      </c>
      <c r="C13" s="87">
        <v>60</v>
      </c>
      <c r="D13" s="87" t="s">
        <v>205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218</v>
      </c>
      <c r="B14" s="82">
        <v>12</v>
      </c>
      <c r="C14" s="83">
        <v>18.5</v>
      </c>
      <c r="D14" s="98" t="s">
        <v>205</v>
      </c>
      <c r="E14" s="84" t="s">
        <v>219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220</v>
      </c>
      <c r="B15" s="86">
        <v>30</v>
      </c>
      <c r="C15" s="87">
        <v>0</v>
      </c>
      <c r="D15" s="96" t="s">
        <v>205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221</v>
      </c>
      <c r="B16" s="120">
        <v>1</v>
      </c>
      <c r="C16" s="101">
        <v>0</v>
      </c>
      <c r="D16" s="101" t="s">
        <v>205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222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223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224</v>
      </c>
      <c r="B19" s="89">
        <v>1</v>
      </c>
      <c r="C19" s="90">
        <v>1500</v>
      </c>
      <c r="D19" s="109" t="s">
        <v>56</v>
      </c>
      <c r="E19" s="84" t="s">
        <v>225</v>
      </c>
      <c r="F19" s="93" t="str">
        <f>IF(D19="Income",B19*C19,"")</f>
        <v/>
      </c>
      <c r="G19" s="38">
        <f>IF(D19="Expenditure",B19*C19,"")</f>
        <v>1500</v>
      </c>
    </row>
    <row r="20" spans="1:7" ht="15">
      <c r="A20" s="85" t="s">
        <v>226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227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228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229</v>
      </c>
      <c r="B23" s="82">
        <v>0</v>
      </c>
      <c r="C23" s="83">
        <v>800</v>
      </c>
      <c r="D23" s="83" t="s">
        <v>56</v>
      </c>
      <c r="E23" s="84" t="s">
        <v>230</v>
      </c>
      <c r="F23" s="39" t="str">
        <f>IF(D23="Income",B23*C23,"")</f>
        <v/>
      </c>
      <c r="G23" s="38">
        <f>IF(D23="Expenditure",B23*C23,"")</f>
        <v>0</v>
      </c>
    </row>
    <row r="24" spans="1:7" ht="15">
      <c r="A24" s="85" t="s">
        <v>231</v>
      </c>
      <c r="B24" s="86">
        <v>20</v>
      </c>
      <c r="C24" s="87">
        <v>38.5</v>
      </c>
      <c r="D24" s="87" t="s">
        <v>56</v>
      </c>
      <c r="E24" s="88" t="s">
        <v>232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233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234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235</v>
      </c>
      <c r="B27" s="82">
        <v>40</v>
      </c>
      <c r="C27" s="83">
        <v>14</v>
      </c>
      <c r="D27" s="83" t="s">
        <v>56</v>
      </c>
      <c r="E27" s="84" t="s">
        <v>236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237</v>
      </c>
      <c r="B28" s="86">
        <v>10</v>
      </c>
      <c r="C28" s="87">
        <v>55</v>
      </c>
      <c r="D28" s="87" t="s">
        <v>56</v>
      </c>
      <c r="E28" s="88" t="s">
        <v>232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238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239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240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241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242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243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33</v>
      </c>
      <c r="B35" s="82">
        <v>1</v>
      </c>
      <c r="C35" s="83">
        <v>300</v>
      </c>
      <c r="D35" s="83" t="s">
        <v>56</v>
      </c>
      <c r="E35" s="84" t="s">
        <v>244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245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246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247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248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249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250</v>
      </c>
      <c r="F41" s="20"/>
      <c r="G41" s="21"/>
    </row>
    <row r="42" spans="1:7" ht="18.95" thickBot="1">
      <c r="A42" s="30"/>
      <c r="B42" s="31"/>
      <c r="C42" s="32"/>
      <c r="D42" s="32"/>
      <c r="E42" s="33" t="s">
        <v>251</v>
      </c>
      <c r="F42" s="40">
        <f>SUM(F2:F40)</f>
        <v>13327</v>
      </c>
      <c r="G42" s="41">
        <f>SUM(G2:G40)</f>
        <v>16397.89</v>
      </c>
    </row>
    <row r="43" spans="1:7" ht="15.95" thickBot="1">
      <c r="A43" s="34"/>
      <c r="B43" s="35"/>
      <c r="C43" s="36"/>
      <c r="D43" s="36"/>
      <c r="E43" s="35" t="s">
        <v>252</v>
      </c>
      <c r="F43" s="131">
        <f>(F42-G42)</f>
        <v>-3070.8899999999994</v>
      </c>
      <c r="G43" s="132"/>
    </row>
    <row r="44" spans="1:7" ht="15.95" thickBot="1">
      <c r="A44" s="34"/>
      <c r="B44" s="35"/>
      <c r="C44" s="36"/>
      <c r="D44" s="36"/>
      <c r="E44" s="35" t="s">
        <v>253</v>
      </c>
      <c r="F44" s="129">
        <v>19343.72</v>
      </c>
      <c r="G44" s="130"/>
    </row>
    <row r="45" spans="1:7" ht="15.95" thickBot="1">
      <c r="A45" s="34"/>
      <c r="B45" s="35"/>
      <c r="C45" s="36"/>
      <c r="D45" s="36"/>
      <c r="E45" s="37" t="s">
        <v>254</v>
      </c>
      <c r="F45" s="129">
        <f>SUM(F44+F43)</f>
        <v>16272.830000000002</v>
      </c>
      <c r="G45" s="130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CA8D-E09B-448E-9772-0A91248D8438}"/>
</file>

<file path=customXml/itemProps2.xml><?xml version="1.0" encoding="utf-8"?>
<ds:datastoreItem xmlns:ds="http://schemas.openxmlformats.org/officeDocument/2006/customXml" ds:itemID="{633CEBB3-4D78-417C-8B98-463076167FD1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2021-03-09T12:14:29Z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